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codeName="{54D0D2CB-4C12-4D6E-6EDF-ACB5E8E520A3}"/>
  <workbookPr codeName="ThisWorkbook" defaultThemeVersion="124226"/>
  <mc:AlternateContent xmlns:mc="http://schemas.openxmlformats.org/markup-compatibility/2006">
    <mc:Choice Requires="x15">
      <x15ac:absPath xmlns:x15ac="http://schemas.microsoft.com/office/spreadsheetml/2010/11/ac" url="C:\Users\sagam\Desktop\川原経営　特養調査　6.20\"/>
    </mc:Choice>
  </mc:AlternateContent>
  <xr:revisionPtr revIDLastSave="0" documentId="13_ncr:1_{F39D8BBC-AC5B-471E-B5E9-8078F7E00008}" xr6:coauthVersionLast="43" xr6:coauthVersionMax="43" xr10:uidLastSave="{00000000-0000-0000-0000-000000000000}"/>
  <bookViews>
    <workbookView xWindow="-120" yWindow="-120" windowWidth="20730" windowHeight="11160" xr2:uid="{00000000-000D-0000-FFFF-FFFF00000000}"/>
  </bookViews>
  <sheets>
    <sheet name="調査票" sheetId="1" r:id="rId1"/>
    <sheet name="加算の取得状況" sheetId="9" state="hidden" r:id="rId2"/>
    <sheet name="集計シート" sheetId="4" state="hidden" r:id="rId3"/>
    <sheet name="集計アシストシート" sheetId="10" r:id="rId4"/>
    <sheet name="検算シート" sheetId="12" r:id="rId5"/>
    <sheet name="地域" sheetId="13" state="hidden" r:id="rId6"/>
    <sheet name="経営指標の計算式" sheetId="7" state="hidden" r:id="rId7"/>
    <sheet name="提出方法" sheetId="5" state="hidden" r:id="rId8"/>
    <sheet name="設問解説" sheetId="3" state="hidden" r:id="rId9"/>
    <sheet name="会員名簿" sheetId="6" state="hidden" r:id="rId10"/>
  </sheets>
  <definedNames>
    <definedName name="_Regression_X" hidden="1">#REF!</definedName>
    <definedName name="AA" hidden="1">#REF!</definedName>
    <definedName name="BB" hidden="1">#REF!</definedName>
    <definedName name="HTML1_1" hidden="1">"[FOLLOW.XLS]場所マスタ!$A$1:$C$33"</definedName>
    <definedName name="HTML1_10" hidden="1">""</definedName>
    <definedName name="HTML1_11" hidden="1">1</definedName>
    <definedName name="HTML1_12" hidden="1">"F:\COMMON\SIZAI\KAGAKU\HTML\KAIHATU\follow.htm"</definedName>
    <definedName name="HTML1_2" hidden="1">1</definedName>
    <definedName name="HTML1_3" hidden="1">"回答状況"</definedName>
    <definedName name="HTML1_4" hidden="1">"回答状況"</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_xlnm.Print_Area" localSheetId="1">加算の取得状況!$A$1:$U$45</definedName>
    <definedName name="_xlnm.Print_Area" localSheetId="4">検算シート!$B$1:$J$111</definedName>
    <definedName name="_xlnm.Print_Area" localSheetId="3">集計アシストシート!$A$1:$K$208</definedName>
    <definedName name="_xlnm.Print_Area" localSheetId="8">設問解説!$A$1:$V$30</definedName>
    <definedName name="_xlnm.Print_Area" localSheetId="0">調査票!$A$1:$V$806</definedName>
    <definedName name="関連表" hidden="1">#REF!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1" i="1" l="1"/>
  <c r="E109" i="12" l="1"/>
  <c r="C109" i="12"/>
  <c r="G97" i="12"/>
  <c r="I92" i="12"/>
  <c r="E38" i="12"/>
  <c r="E33" i="12"/>
  <c r="E28" i="12"/>
  <c r="C23" i="12"/>
  <c r="Q795" i="1"/>
  <c r="Q806" i="1"/>
  <c r="B441" i="4" l="1"/>
  <c r="B419" i="4"/>
  <c r="B418" i="4"/>
  <c r="B417" i="4"/>
  <c r="B416" i="4"/>
  <c r="T367" i="1"/>
  <c r="Q804" i="1"/>
  <c r="T795" i="1"/>
  <c r="Q799" i="1"/>
  <c r="T799" i="1"/>
  <c r="B177" i="4" l="1"/>
  <c r="B160" i="4"/>
  <c r="B161" i="4"/>
  <c r="B162" i="4"/>
  <c r="B163" i="4"/>
  <c r="B159" i="4"/>
  <c r="B148" i="4"/>
  <c r="B147" i="4"/>
  <c r="B146" i="4"/>
  <c r="B145" i="4"/>
  <c r="B139" i="4"/>
  <c r="B140" i="4"/>
  <c r="B141" i="4"/>
  <c r="B142" i="4"/>
  <c r="B143" i="4"/>
  <c r="B144" i="4"/>
  <c r="B137" i="4"/>
  <c r="B136" i="4"/>
  <c r="B134" i="4"/>
  <c r="B135" i="4"/>
  <c r="B133" i="4"/>
  <c r="B132" i="4"/>
  <c r="B131" i="4"/>
  <c r="B130" i="4"/>
  <c r="B129"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74" i="4"/>
  <c r="B952" i="4"/>
  <c r="B912" i="4"/>
  <c r="B909" i="4"/>
  <c r="B910" i="4"/>
  <c r="B911" i="4"/>
  <c r="B873" i="4"/>
  <c r="B166" i="4"/>
  <c r="B167" i="4"/>
  <c r="B168" i="4"/>
  <c r="B169" i="4"/>
  <c r="B170" i="4"/>
  <c r="B171" i="4"/>
  <c r="B172" i="4"/>
  <c r="B173" i="4"/>
  <c r="B174" i="4"/>
  <c r="B175" i="4"/>
  <c r="B176" i="4"/>
  <c r="L737" i="1"/>
  <c r="L754" i="1"/>
  <c r="L739" i="1"/>
  <c r="L753" i="1"/>
  <c r="L748" i="1"/>
  <c r="L759" i="1"/>
  <c r="L756" i="1"/>
  <c r="R696" i="1"/>
  <c r="L750" i="1"/>
  <c r="L738" i="1"/>
  <c r="R699" i="1"/>
  <c r="L736" i="1"/>
  <c r="L751" i="1"/>
  <c r="O695" i="1"/>
  <c r="L735" i="1"/>
  <c r="R695" i="1"/>
  <c r="O698" i="1"/>
  <c r="L747" i="1"/>
  <c r="L742" i="1"/>
  <c r="O702" i="1"/>
  <c r="L743" i="1"/>
  <c r="O699" i="1"/>
  <c r="L744" i="1"/>
  <c r="L734" i="1"/>
  <c r="L758" i="1"/>
  <c r="R702" i="1"/>
  <c r="L740" i="1"/>
  <c r="L757" i="1"/>
  <c r="L755" i="1"/>
  <c r="L749" i="1"/>
  <c r="O701" i="1"/>
  <c r="O696" i="1"/>
  <c r="L767" i="1"/>
  <c r="R701" i="1"/>
  <c r="L745" i="1"/>
  <c r="R698" i="1"/>
  <c r="L746" i="1"/>
  <c r="L752" i="1"/>
  <c r="B936" i="4" l="1"/>
  <c r="B937" i="4"/>
  <c r="B933" i="4"/>
  <c r="B932" i="4"/>
  <c r="B931" i="4"/>
  <c r="B934" i="4"/>
  <c r="B935" i="4"/>
  <c r="B916" i="4"/>
  <c r="B923" i="4"/>
  <c r="B924" i="4"/>
  <c r="B925" i="4"/>
  <c r="B926" i="4"/>
  <c r="B929" i="4"/>
  <c r="B930" i="4"/>
  <c r="B927" i="4"/>
  <c r="B928" i="4"/>
  <c r="L702" i="1"/>
  <c r="L701" i="1"/>
  <c r="O700" i="1"/>
  <c r="R700" i="1"/>
  <c r="R697" i="1"/>
  <c r="O697" i="1"/>
  <c r="L699" i="1"/>
  <c r="L698" i="1"/>
  <c r="R694" i="1"/>
  <c r="O694" i="1"/>
  <c r="L696" i="1"/>
  <c r="L695" i="1"/>
  <c r="Q798" i="1"/>
  <c r="Q781" i="1"/>
  <c r="Q790" i="1"/>
  <c r="T791" i="1"/>
  <c r="T797" i="1"/>
  <c r="Q801" i="1"/>
  <c r="Q802" i="1"/>
  <c r="Q788" i="1"/>
  <c r="Q793" i="1"/>
  <c r="Q787" i="1"/>
  <c r="Q780" i="1"/>
  <c r="Q789" i="1"/>
  <c r="Q797" i="1"/>
  <c r="T804" i="1"/>
  <c r="Q782" i="1"/>
  <c r="T784" i="1"/>
  <c r="T802" i="1"/>
  <c r="T806" i="1"/>
  <c r="Q784" i="1"/>
  <c r="Q783" i="1"/>
  <c r="T805" i="1"/>
  <c r="T793" i="1"/>
  <c r="T782" i="1"/>
  <c r="T803" i="1"/>
  <c r="T794" i="1"/>
  <c r="T788" i="1"/>
  <c r="T790" i="1"/>
  <c r="T789" i="1"/>
  <c r="T796" i="1"/>
  <c r="L741" i="1"/>
  <c r="Q791" i="1"/>
  <c r="T798" i="1"/>
  <c r="Q805" i="1"/>
  <c r="T786" i="1"/>
  <c r="T781" i="1"/>
  <c r="T792" i="1"/>
  <c r="T787" i="1"/>
  <c r="Q792" i="1"/>
  <c r="T785" i="1"/>
  <c r="L697" i="1" l="1"/>
  <c r="L694" i="1"/>
  <c r="L700" i="1"/>
  <c r="T783" i="1"/>
  <c r="Q785" i="1"/>
  <c r="Q803" i="1"/>
  <c r="T800" i="1"/>
  <c r="Q794" i="1"/>
  <c r="Q800" i="1"/>
  <c r="T780" i="1"/>
  <c r="Q796" i="1"/>
  <c r="T801" i="1"/>
  <c r="B883" i="4" l="1"/>
  <c r="B920" i="4" l="1"/>
  <c r="B918" i="4"/>
  <c r="B917" i="4"/>
  <c r="B915" i="4"/>
  <c r="B914" i="4"/>
  <c r="B919" i="4"/>
  <c r="Q786" i="1"/>
  <c r="L770" i="1"/>
  <c r="L761" i="1"/>
  <c r="L760" i="1"/>
  <c r="L771" i="1"/>
  <c r="L765" i="1"/>
  <c r="L768" i="1"/>
  <c r="L764" i="1"/>
  <c r="L769" i="1"/>
  <c r="L763" i="1"/>
  <c r="B940" i="4" l="1"/>
  <c r="B942" i="4"/>
  <c r="B944" i="4"/>
  <c r="B950" i="4"/>
  <c r="B948" i="4"/>
  <c r="B947" i="4"/>
  <c r="B943" i="4"/>
  <c r="B949" i="4"/>
  <c r="L762" i="1"/>
  <c r="B946" i="4" l="1"/>
  <c r="B941" i="4"/>
  <c r="B939" i="4"/>
  <c r="B922" i="4"/>
  <c r="B913" i="4"/>
  <c r="L766" i="1"/>
  <c r="B945" i="4" l="1"/>
  <c r="B921" i="4"/>
  <c r="L772" i="1"/>
  <c r="B951" i="4" l="1"/>
  <c r="B938" i="4"/>
  <c r="O705" i="1"/>
  <c r="R707" i="1"/>
  <c r="O688" i="1"/>
  <c r="R691" i="1"/>
  <c r="O692" i="1"/>
  <c r="O715" i="1"/>
  <c r="R720" i="1"/>
  <c r="O721" i="1"/>
  <c r="R722" i="1"/>
  <c r="R725" i="1"/>
  <c r="O717" i="1"/>
  <c r="R709" i="1"/>
  <c r="O723" i="1"/>
  <c r="R688" i="1"/>
  <c r="O712" i="1"/>
  <c r="O704" i="1"/>
  <c r="R703" i="1"/>
  <c r="R706" i="1"/>
  <c r="O726" i="1"/>
  <c r="O713" i="1"/>
  <c r="R711" i="1"/>
  <c r="R689" i="1"/>
  <c r="O710" i="1"/>
  <c r="R726" i="1"/>
  <c r="R716" i="1"/>
  <c r="O724" i="1"/>
  <c r="O720" i="1"/>
  <c r="R693" i="1"/>
  <c r="O718" i="1"/>
  <c r="R724" i="1"/>
  <c r="O709" i="1"/>
  <c r="O716" i="1"/>
  <c r="O711" i="1"/>
  <c r="O691" i="1"/>
  <c r="O725" i="1"/>
  <c r="R705" i="1"/>
  <c r="R687" i="1"/>
  <c r="O706" i="1"/>
  <c r="R723" i="1"/>
  <c r="R721" i="1"/>
  <c r="O689" i="1"/>
  <c r="R713" i="1"/>
  <c r="R712" i="1"/>
  <c r="R715" i="1"/>
  <c r="O687" i="1"/>
  <c r="O693" i="1"/>
  <c r="R719" i="1"/>
  <c r="R692" i="1"/>
  <c r="O708" i="1"/>
  <c r="O707" i="1"/>
  <c r="R718" i="1"/>
  <c r="O703" i="1"/>
  <c r="R690" i="1"/>
  <c r="O690" i="1"/>
  <c r="R717" i="1"/>
  <c r="R714" i="1"/>
  <c r="R708" i="1"/>
  <c r="R704" i="1"/>
  <c r="R710" i="1"/>
  <c r="O719" i="1"/>
  <c r="O722" i="1"/>
  <c r="R102" i="1" l="1"/>
  <c r="L104" i="1"/>
  <c r="B49" i="4" s="1"/>
  <c r="Q146" i="1"/>
  <c r="O714" i="1"/>
  <c r="N780" i="1" l="1"/>
  <c r="B953" i="4" s="1"/>
  <c r="N804" i="1"/>
  <c r="B977" i="4" s="1"/>
  <c r="N783" i="1"/>
  <c r="B956" i="4" s="1"/>
  <c r="N787" i="1"/>
  <c r="B960" i="4" s="1"/>
  <c r="N791" i="1"/>
  <c r="B964" i="4" s="1"/>
  <c r="N795" i="1"/>
  <c r="B968" i="4" s="1"/>
  <c r="N799" i="1"/>
  <c r="B972" i="4" s="1"/>
  <c r="N803" i="1"/>
  <c r="B976" i="4" s="1"/>
  <c r="N784" i="1"/>
  <c r="B957" i="4" s="1"/>
  <c r="N792" i="1"/>
  <c r="B965" i="4" s="1"/>
  <c r="N802" i="1"/>
  <c r="B975" i="4" s="1"/>
  <c r="N806" i="1"/>
  <c r="B979" i="4" s="1"/>
  <c r="N788" i="1"/>
  <c r="B961" i="4" s="1"/>
  <c r="N796" i="1"/>
  <c r="B969" i="4" s="1"/>
  <c r="N800" i="1"/>
  <c r="B973" i="4" s="1"/>
  <c r="N782" i="1"/>
  <c r="B955" i="4" s="1"/>
  <c r="N786" i="1"/>
  <c r="B959" i="4" s="1"/>
  <c r="N790" i="1"/>
  <c r="B963" i="4" s="1"/>
  <c r="N794" i="1"/>
  <c r="B967" i="4" s="1"/>
  <c r="N798" i="1"/>
  <c r="B971" i="4" s="1"/>
  <c r="N781" i="1"/>
  <c r="B954" i="4" s="1"/>
  <c r="N785" i="1"/>
  <c r="B958" i="4" s="1"/>
  <c r="N789" i="1"/>
  <c r="B962" i="4" s="1"/>
  <c r="N793" i="1"/>
  <c r="B966" i="4" s="1"/>
  <c r="N797" i="1"/>
  <c r="B970" i="4" s="1"/>
  <c r="N801" i="1"/>
  <c r="B974" i="4" s="1"/>
  <c r="N805" i="1"/>
  <c r="B978" i="4" s="1"/>
  <c r="Q212" i="1"/>
  <c r="B138" i="4" s="1"/>
  <c r="R651" i="1" l="1"/>
  <c r="P651" i="1"/>
  <c r="N651" i="1"/>
  <c r="L651" i="1"/>
  <c r="J651" i="1"/>
  <c r="H651" i="1"/>
  <c r="F651" i="1"/>
  <c r="T646" i="1"/>
  <c r="N550" i="1"/>
  <c r="E550" i="1"/>
  <c r="S548" i="1"/>
  <c r="N547" i="1"/>
  <c r="E547" i="1"/>
  <c r="AO404" i="1"/>
  <c r="AM404" i="1"/>
  <c r="AK404" i="1"/>
  <c r="AI404" i="1"/>
  <c r="AG404" i="1"/>
  <c r="AE404" i="1"/>
  <c r="AC404" i="1"/>
  <c r="AO403" i="1"/>
  <c r="AM403" i="1"/>
  <c r="AK403" i="1"/>
  <c r="AI403" i="1"/>
  <c r="AG403" i="1"/>
  <c r="AE403" i="1"/>
  <c r="AC403" i="1"/>
  <c r="AO396" i="1"/>
  <c r="AM396" i="1"/>
  <c r="AK396" i="1"/>
  <c r="AI396" i="1"/>
  <c r="AG396" i="1"/>
  <c r="AE396" i="1"/>
  <c r="AC396" i="1"/>
  <c r="AO395" i="1"/>
  <c r="AM395" i="1"/>
  <c r="AK395" i="1"/>
  <c r="AI395" i="1"/>
  <c r="AG395" i="1"/>
  <c r="AE395" i="1"/>
  <c r="AC395" i="1"/>
  <c r="AO357" i="1"/>
  <c r="AM357" i="1"/>
  <c r="AK357" i="1"/>
  <c r="AI357" i="1"/>
  <c r="AG357" i="1"/>
  <c r="AE357" i="1"/>
  <c r="AC357" i="1"/>
  <c r="AO356" i="1"/>
  <c r="AM356" i="1"/>
  <c r="AK356" i="1"/>
  <c r="AI356" i="1"/>
  <c r="AG356" i="1"/>
  <c r="AE356" i="1"/>
  <c r="AC356" i="1"/>
  <c r="AO349" i="1"/>
  <c r="AM349" i="1"/>
  <c r="AK349" i="1"/>
  <c r="AI349" i="1"/>
  <c r="AG349" i="1"/>
  <c r="AE349" i="1"/>
  <c r="AC349" i="1"/>
  <c r="AO348" i="1"/>
  <c r="AM348" i="1"/>
  <c r="AK348" i="1"/>
  <c r="AI348" i="1"/>
  <c r="AG348" i="1"/>
  <c r="AE348" i="1"/>
  <c r="AC348" i="1"/>
  <c r="AO340" i="1"/>
  <c r="AM340" i="1"/>
  <c r="AK340" i="1"/>
  <c r="AI340" i="1"/>
  <c r="AG340" i="1"/>
  <c r="AE340" i="1"/>
  <c r="AC340" i="1"/>
  <c r="AO339" i="1"/>
  <c r="AM339" i="1"/>
  <c r="AK339" i="1"/>
  <c r="AI339" i="1"/>
  <c r="AG339" i="1"/>
  <c r="AE339" i="1"/>
  <c r="AC339" i="1"/>
  <c r="R336" i="1"/>
  <c r="P336" i="1"/>
  <c r="N336" i="1"/>
  <c r="L336" i="1"/>
  <c r="J336" i="1"/>
  <c r="H336" i="1"/>
  <c r="F336" i="1"/>
  <c r="AO332" i="1"/>
  <c r="AM332" i="1"/>
  <c r="AK332" i="1"/>
  <c r="AI332" i="1"/>
  <c r="AG332" i="1"/>
  <c r="AE332" i="1"/>
  <c r="AC332" i="1"/>
  <c r="T332" i="1"/>
  <c r="AO331" i="1"/>
  <c r="AM331" i="1"/>
  <c r="AK331" i="1"/>
  <c r="AI331" i="1"/>
  <c r="AG331" i="1"/>
  <c r="AE331" i="1"/>
  <c r="AC331" i="1"/>
  <c r="T331" i="1"/>
  <c r="T330" i="1"/>
  <c r="AQ332" i="1" l="1"/>
  <c r="AQ331" i="1"/>
  <c r="T645" i="1"/>
  <c r="S547" i="1"/>
  <c r="R353" i="1"/>
  <c r="P353" i="1"/>
  <c r="N353" i="1"/>
  <c r="L353" i="1"/>
  <c r="J353" i="1"/>
  <c r="H353" i="1"/>
  <c r="F353" i="1"/>
  <c r="T352" i="1"/>
  <c r="N316" i="1"/>
  <c r="N314" i="1"/>
  <c r="N313" i="1"/>
  <c r="G311" i="1"/>
  <c r="T353" i="1" l="1"/>
  <c r="B438" i="4"/>
  <c r="B434" i="4"/>
  <c r="B430" i="4"/>
  <c r="B426" i="4"/>
  <c r="B422" i="4"/>
  <c r="B421" i="4"/>
  <c r="B420" i="4"/>
  <c r="AC347" i="1"/>
  <c r="AE347" i="1"/>
  <c r="B981" i="4"/>
  <c r="B982" i="4"/>
  <c r="B983" i="4"/>
  <c r="B984" i="4"/>
  <c r="B985" i="4"/>
  <c r="B986" i="4"/>
  <c r="B987" i="4"/>
  <c r="B988" i="4"/>
  <c r="B989" i="4"/>
  <c r="B990" i="4"/>
  <c r="B991" i="4"/>
  <c r="B992" i="4"/>
  <c r="B993" i="4"/>
  <c r="B994" i="4"/>
  <c r="B995" i="4"/>
  <c r="B996" i="4"/>
  <c r="B997" i="4"/>
  <c r="B998" i="4"/>
  <c r="B999" i="4"/>
  <c r="B1000" i="4"/>
  <c r="B1001" i="4"/>
  <c r="B1002" i="4"/>
  <c r="B1003" i="4"/>
  <c r="B1004" i="4"/>
  <c r="B1005" i="4"/>
  <c r="B1006" i="4"/>
  <c r="B1007" i="4"/>
  <c r="B1008" i="4"/>
  <c r="B1009" i="4"/>
  <c r="B1010" i="4"/>
  <c r="B1011" i="4"/>
  <c r="B1012" i="4"/>
  <c r="B1013" i="4"/>
  <c r="B1014" i="4"/>
  <c r="B1015" i="4"/>
  <c r="B1016" i="4"/>
  <c r="B1017" i="4"/>
  <c r="B1018" i="4"/>
  <c r="B980" i="4"/>
  <c r="B534" i="4"/>
  <c r="B535" i="4"/>
  <c r="B536" i="4"/>
  <c r="B537" i="4"/>
  <c r="B538" i="4"/>
  <c r="R408" i="1"/>
  <c r="B539" i="4" s="1"/>
  <c r="B533" i="4"/>
  <c r="B527" i="4"/>
  <c r="B528" i="4"/>
  <c r="B529" i="4"/>
  <c r="B530" i="4"/>
  <c r="B531" i="4"/>
  <c r="P408" i="1"/>
  <c r="B532" i="4" s="1"/>
  <c r="B526" i="4"/>
  <c r="B520" i="4"/>
  <c r="B521" i="4"/>
  <c r="B522" i="4"/>
  <c r="B523" i="4"/>
  <c r="B524" i="4"/>
  <c r="N408" i="1"/>
  <c r="B525" i="4" s="1"/>
  <c r="B519" i="4"/>
  <c r="B513" i="4"/>
  <c r="B514" i="4"/>
  <c r="B515" i="4"/>
  <c r="B516" i="4"/>
  <c r="B517" i="4"/>
  <c r="L408" i="1"/>
  <c r="B518" i="4" s="1"/>
  <c r="B512" i="4"/>
  <c r="B506" i="4"/>
  <c r="B507" i="4"/>
  <c r="B508" i="4"/>
  <c r="B509" i="4"/>
  <c r="B510" i="4"/>
  <c r="J408" i="1"/>
  <c r="B511" i="4" s="1"/>
  <c r="B505" i="4"/>
  <c r="B499" i="4"/>
  <c r="B500" i="4"/>
  <c r="B501" i="4"/>
  <c r="B502" i="4"/>
  <c r="B503" i="4"/>
  <c r="H408" i="1"/>
  <c r="B504" i="4" s="1"/>
  <c r="B498" i="4"/>
  <c r="B492" i="4"/>
  <c r="B493" i="4"/>
  <c r="B494" i="4"/>
  <c r="B495" i="4"/>
  <c r="B496" i="4"/>
  <c r="F408" i="1"/>
  <c r="B497" i="4" s="1"/>
  <c r="B491" i="4"/>
  <c r="B485" i="4"/>
  <c r="B486" i="4"/>
  <c r="B487" i="4"/>
  <c r="B488" i="4"/>
  <c r="B489" i="4"/>
  <c r="R400" i="1"/>
  <c r="B490" i="4" s="1"/>
  <c r="B484" i="4"/>
  <c r="B478" i="4"/>
  <c r="B479" i="4"/>
  <c r="B480" i="4"/>
  <c r="B481" i="4"/>
  <c r="B482" i="4"/>
  <c r="P400" i="1"/>
  <c r="B483" i="4" s="1"/>
  <c r="B477" i="4"/>
  <c r="B471" i="4"/>
  <c r="B472" i="4"/>
  <c r="B473" i="4"/>
  <c r="B474" i="4"/>
  <c r="B475" i="4"/>
  <c r="N400" i="1"/>
  <c r="B476" i="4" s="1"/>
  <c r="B470" i="4"/>
  <c r="B464" i="4"/>
  <c r="B465" i="4"/>
  <c r="B466" i="4"/>
  <c r="B467" i="4"/>
  <c r="B468" i="4"/>
  <c r="L400" i="1"/>
  <c r="B469" i="4" s="1"/>
  <c r="B463" i="4"/>
  <c r="B457" i="4"/>
  <c r="B458" i="4"/>
  <c r="B459" i="4"/>
  <c r="B460" i="4"/>
  <c r="B461" i="4"/>
  <c r="J400" i="1"/>
  <c r="B462" i="4" s="1"/>
  <c r="B456" i="4"/>
  <c r="B450" i="4"/>
  <c r="B451" i="4"/>
  <c r="B452" i="4"/>
  <c r="B453" i="4"/>
  <c r="B454" i="4"/>
  <c r="H400" i="1"/>
  <c r="B455" i="4" s="1"/>
  <c r="B449" i="4"/>
  <c r="B443" i="4"/>
  <c r="B444" i="4"/>
  <c r="B445" i="4"/>
  <c r="B446" i="4"/>
  <c r="B447" i="4"/>
  <c r="F400" i="1"/>
  <c r="B448" i="4" s="1"/>
  <c r="B442" i="4"/>
  <c r="B1" i="4"/>
  <c r="AK388" i="1"/>
  <c r="AH388" i="1"/>
  <c r="AE388" i="1"/>
  <c r="J9" i="10"/>
  <c r="AB388" i="1"/>
  <c r="AK387" i="1"/>
  <c r="AH387" i="1"/>
  <c r="AE387" i="1"/>
  <c r="AB387" i="1"/>
  <c r="G9" i="10"/>
  <c r="AC394" i="1"/>
  <c r="AO407" i="1"/>
  <c r="AM407" i="1"/>
  <c r="AK407" i="1"/>
  <c r="AI407" i="1"/>
  <c r="AG407" i="1"/>
  <c r="AE407" i="1"/>
  <c r="AC407" i="1"/>
  <c r="AO406" i="1"/>
  <c r="AM406" i="1"/>
  <c r="AK406" i="1"/>
  <c r="AI406" i="1"/>
  <c r="AG406" i="1"/>
  <c r="AE406" i="1"/>
  <c r="AC406" i="1"/>
  <c r="AO405" i="1"/>
  <c r="AM405" i="1"/>
  <c r="AK405" i="1"/>
  <c r="AI405" i="1"/>
  <c r="AG405" i="1"/>
  <c r="AE405" i="1"/>
  <c r="AC405" i="1"/>
  <c r="AO402" i="1"/>
  <c r="AM402" i="1"/>
  <c r="AK402" i="1"/>
  <c r="AI402" i="1"/>
  <c r="AG402" i="1"/>
  <c r="AE402" i="1"/>
  <c r="AC402" i="1"/>
  <c r="AO399" i="1"/>
  <c r="AM399" i="1"/>
  <c r="AK399" i="1"/>
  <c r="AI399" i="1"/>
  <c r="AG399" i="1"/>
  <c r="AE399" i="1"/>
  <c r="AC399" i="1"/>
  <c r="AO398" i="1"/>
  <c r="AM398" i="1"/>
  <c r="AK398" i="1"/>
  <c r="AI398" i="1"/>
  <c r="AG398" i="1"/>
  <c r="AE398" i="1"/>
  <c r="AC398" i="1"/>
  <c r="AO397" i="1"/>
  <c r="AM397" i="1"/>
  <c r="AK397" i="1"/>
  <c r="AI397" i="1"/>
  <c r="AG397" i="1"/>
  <c r="AE397" i="1"/>
  <c r="AC397" i="1"/>
  <c r="AO394" i="1"/>
  <c r="AM394" i="1"/>
  <c r="AK394" i="1"/>
  <c r="AI394" i="1"/>
  <c r="AG394" i="1"/>
  <c r="AE394" i="1"/>
  <c r="AO360" i="1"/>
  <c r="AM360" i="1"/>
  <c r="AK360" i="1"/>
  <c r="AI360" i="1"/>
  <c r="AG360" i="1"/>
  <c r="AE360" i="1"/>
  <c r="AC360" i="1"/>
  <c r="AO359" i="1"/>
  <c r="AM359" i="1"/>
  <c r="AK359" i="1"/>
  <c r="AI359" i="1"/>
  <c r="AG359" i="1"/>
  <c r="AE359" i="1"/>
  <c r="AC359" i="1"/>
  <c r="AO358" i="1"/>
  <c r="AM358" i="1"/>
  <c r="AK358" i="1"/>
  <c r="AI358" i="1"/>
  <c r="AG358" i="1"/>
  <c r="AE358" i="1"/>
  <c r="AC358" i="1"/>
  <c r="AO355" i="1"/>
  <c r="AM355" i="1"/>
  <c r="AK355" i="1"/>
  <c r="AI355" i="1"/>
  <c r="AG355" i="1"/>
  <c r="AE355" i="1"/>
  <c r="AC355" i="1"/>
  <c r="AO352" i="1"/>
  <c r="AM352" i="1"/>
  <c r="AK352" i="1"/>
  <c r="AI352" i="1"/>
  <c r="AG352" i="1"/>
  <c r="AE352" i="1"/>
  <c r="AC352" i="1"/>
  <c r="J12" i="10"/>
  <c r="AO351" i="1"/>
  <c r="AM351" i="1"/>
  <c r="AK351" i="1"/>
  <c r="AI351" i="1"/>
  <c r="AG351" i="1"/>
  <c r="AE351" i="1"/>
  <c r="AC351" i="1"/>
  <c r="AO350" i="1"/>
  <c r="AM350" i="1"/>
  <c r="AK350" i="1"/>
  <c r="AI350" i="1"/>
  <c r="AG350" i="1"/>
  <c r="AE350" i="1"/>
  <c r="AC350" i="1"/>
  <c r="AO347" i="1"/>
  <c r="AM347" i="1"/>
  <c r="AK347" i="1"/>
  <c r="AI347" i="1"/>
  <c r="AG347" i="1"/>
  <c r="AO343" i="1"/>
  <c r="AM343" i="1"/>
  <c r="AK343" i="1"/>
  <c r="AI343" i="1"/>
  <c r="AG343" i="1"/>
  <c r="AE343" i="1"/>
  <c r="AC343" i="1"/>
  <c r="AO342" i="1"/>
  <c r="AM342" i="1"/>
  <c r="AK342" i="1"/>
  <c r="AI342" i="1"/>
  <c r="AG342" i="1"/>
  <c r="AE342" i="1"/>
  <c r="AC342" i="1"/>
  <c r="AO341" i="1"/>
  <c r="AM341" i="1"/>
  <c r="AK341" i="1"/>
  <c r="AI341" i="1"/>
  <c r="AG341" i="1"/>
  <c r="AE341" i="1"/>
  <c r="AC341" i="1"/>
  <c r="AO338" i="1"/>
  <c r="AM338" i="1"/>
  <c r="AK338" i="1"/>
  <c r="AI338" i="1"/>
  <c r="AG338" i="1"/>
  <c r="AE338" i="1"/>
  <c r="AC338" i="1"/>
  <c r="AO335" i="1"/>
  <c r="AM335" i="1"/>
  <c r="AK335" i="1"/>
  <c r="AI335" i="1"/>
  <c r="AG335" i="1"/>
  <c r="AE335" i="1"/>
  <c r="AC335" i="1"/>
  <c r="AO334" i="1"/>
  <c r="AM334" i="1"/>
  <c r="AK334" i="1"/>
  <c r="AI334" i="1"/>
  <c r="AG334" i="1"/>
  <c r="AE334" i="1"/>
  <c r="AC334" i="1"/>
  <c r="AO333" i="1"/>
  <c r="AM333" i="1"/>
  <c r="AK333" i="1"/>
  <c r="AI333" i="1"/>
  <c r="AG333" i="1"/>
  <c r="AE333" i="1"/>
  <c r="AC333" i="1"/>
  <c r="AO330" i="1"/>
  <c r="AM330" i="1"/>
  <c r="AK330" i="1"/>
  <c r="AI330" i="1"/>
  <c r="AG330" i="1"/>
  <c r="AE330" i="1"/>
  <c r="AC330" i="1"/>
  <c r="J10" i="10"/>
  <c r="J11"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163" i="10"/>
  <c r="J164" i="10"/>
  <c r="J165" i="10"/>
  <c r="J166" i="10"/>
  <c r="J167" i="10"/>
  <c r="J168" i="10"/>
  <c r="J169" i="10"/>
  <c r="J170" i="10"/>
  <c r="J171" i="10"/>
  <c r="J172" i="10"/>
  <c r="J173" i="10"/>
  <c r="J174" i="10"/>
  <c r="J175" i="10"/>
  <c r="J176" i="10"/>
  <c r="J177" i="10"/>
  <c r="J178" i="10"/>
  <c r="J179" i="10"/>
  <c r="J180" i="10"/>
  <c r="J181" i="10"/>
  <c r="J182" i="10"/>
  <c r="J183" i="10"/>
  <c r="J184" i="10"/>
  <c r="J185" i="10"/>
  <c r="J186" i="10"/>
  <c r="J187" i="10"/>
  <c r="J188" i="10"/>
  <c r="J189" i="10"/>
  <c r="J190" i="10"/>
  <c r="J191" i="10"/>
  <c r="J192" i="10"/>
  <c r="J193" i="10"/>
  <c r="J194" i="10"/>
  <c r="J195" i="10"/>
  <c r="J196" i="10"/>
  <c r="J197" i="10"/>
  <c r="J198" i="10"/>
  <c r="J199" i="10"/>
  <c r="J200" i="10"/>
  <c r="J201" i="10"/>
  <c r="J202" i="10"/>
  <c r="J203" i="10"/>
  <c r="J204" i="10"/>
  <c r="J205" i="10"/>
  <c r="J206" i="10"/>
  <c r="J207" i="10"/>
  <c r="J208" i="10"/>
  <c r="K10"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207" i="10"/>
  <c r="K208" i="10"/>
  <c r="K11" i="10"/>
  <c r="K12" i="10"/>
  <c r="K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136" i="10"/>
  <c r="G137" i="10"/>
  <c r="G138" i="10"/>
  <c r="G139" i="10"/>
  <c r="G140" i="10"/>
  <c r="G141" i="10"/>
  <c r="G142" i="10"/>
  <c r="G143" i="10"/>
  <c r="G144" i="10"/>
  <c r="G145" i="10"/>
  <c r="G146" i="10"/>
  <c r="G147" i="10"/>
  <c r="G148" i="10"/>
  <c r="G149" i="10"/>
  <c r="G150" i="10"/>
  <c r="G151" i="10"/>
  <c r="G152" i="10"/>
  <c r="G153" i="10"/>
  <c r="G154" i="10"/>
  <c r="G155" i="10"/>
  <c r="G156" i="10"/>
  <c r="G157" i="10"/>
  <c r="G158" i="10"/>
  <c r="G159" i="10"/>
  <c r="G160" i="10"/>
  <c r="G161" i="10"/>
  <c r="G162" i="10"/>
  <c r="G163" i="10"/>
  <c r="G164" i="10"/>
  <c r="G165" i="10"/>
  <c r="G166" i="10"/>
  <c r="G167" i="10"/>
  <c r="G168" i="10"/>
  <c r="G169" i="10"/>
  <c r="G170" i="10"/>
  <c r="G171" i="10"/>
  <c r="G172" i="10"/>
  <c r="G173" i="10"/>
  <c r="G174" i="10"/>
  <c r="G175" i="10"/>
  <c r="G176" i="10"/>
  <c r="G177" i="10"/>
  <c r="G178" i="10"/>
  <c r="G179" i="10"/>
  <c r="G180" i="10"/>
  <c r="G181" i="10"/>
  <c r="G182" i="10"/>
  <c r="G183" i="10"/>
  <c r="G184" i="10"/>
  <c r="G185" i="10"/>
  <c r="G186" i="10"/>
  <c r="G187" i="10"/>
  <c r="G188" i="10"/>
  <c r="G189" i="10"/>
  <c r="G190" i="10"/>
  <c r="G191" i="10"/>
  <c r="G192" i="10"/>
  <c r="G193" i="10"/>
  <c r="G194" i="10"/>
  <c r="G195" i="10"/>
  <c r="G196" i="10"/>
  <c r="G197" i="10"/>
  <c r="G198" i="10"/>
  <c r="G199" i="10"/>
  <c r="G200" i="10"/>
  <c r="G201" i="10"/>
  <c r="G202" i="10"/>
  <c r="G203" i="10"/>
  <c r="G204" i="10"/>
  <c r="G205" i="10"/>
  <c r="G206" i="10"/>
  <c r="G207" i="10"/>
  <c r="G208" i="10"/>
  <c r="N631" i="1"/>
  <c r="N628" i="1"/>
  <c r="N625" i="1"/>
  <c r="B722" i="4" s="1"/>
  <c r="E631" i="1"/>
  <c r="E628" i="1"/>
  <c r="E625" i="1"/>
  <c r="B711" i="4" s="1"/>
  <c r="N613" i="1"/>
  <c r="N610" i="1"/>
  <c r="N607" i="1"/>
  <c r="E613" i="1"/>
  <c r="E610" i="1"/>
  <c r="E607" i="1"/>
  <c r="B687" i="4" s="1"/>
  <c r="N592" i="1"/>
  <c r="N589" i="1"/>
  <c r="N586" i="1"/>
  <c r="B674" i="4" s="1"/>
  <c r="E592" i="1"/>
  <c r="E589" i="1"/>
  <c r="E586" i="1"/>
  <c r="B663" i="4" s="1"/>
  <c r="S578" i="1"/>
  <c r="S577" i="1"/>
  <c r="S575" i="1"/>
  <c r="S573" i="1"/>
  <c r="S572" i="1"/>
  <c r="S570" i="1"/>
  <c r="S569" i="1"/>
  <c r="S567" i="1"/>
  <c r="N574" i="1"/>
  <c r="N571" i="1"/>
  <c r="N568" i="1"/>
  <c r="B650" i="4" s="1"/>
  <c r="E574" i="1"/>
  <c r="E571" i="1"/>
  <c r="E568" i="1"/>
  <c r="B639" i="4" s="1"/>
  <c r="N553" i="1"/>
  <c r="E553" i="1"/>
  <c r="N535" i="1"/>
  <c r="N532" i="1"/>
  <c r="N529" i="1"/>
  <c r="B602" i="4" s="1"/>
  <c r="E535" i="1"/>
  <c r="E532" i="1"/>
  <c r="E529" i="1"/>
  <c r="B591" i="4" s="1"/>
  <c r="N514" i="1"/>
  <c r="N511" i="1"/>
  <c r="N508" i="1"/>
  <c r="E508" i="1"/>
  <c r="B567" i="4" s="1"/>
  <c r="N489" i="1"/>
  <c r="E489" i="1"/>
  <c r="E514" i="1"/>
  <c r="E511" i="1"/>
  <c r="E495" i="1"/>
  <c r="N495" i="1"/>
  <c r="N492" i="1"/>
  <c r="E492" i="1"/>
  <c r="B440" i="4"/>
  <c r="B439" i="4"/>
  <c r="B557" i="4"/>
  <c r="B562" i="4"/>
  <c r="B561" i="4"/>
  <c r="B560" i="4"/>
  <c r="L109" i="1"/>
  <c r="B55" i="4" s="1"/>
  <c r="B51" i="4"/>
  <c r="B50" i="4"/>
  <c r="G298" i="1"/>
  <c r="K298" i="1"/>
  <c r="B199" i="4" s="1"/>
  <c r="R68" i="1"/>
  <c r="G23" i="12" s="1"/>
  <c r="J59" i="1"/>
  <c r="B13" i="4" s="1"/>
  <c r="E125" i="12"/>
  <c r="G125" i="12" s="1"/>
  <c r="C120" i="12"/>
  <c r="C125" i="12"/>
  <c r="E120" i="12"/>
  <c r="C58" i="12"/>
  <c r="E53" i="12"/>
  <c r="E48" i="12"/>
  <c r="E43" i="12"/>
  <c r="B226" i="4"/>
  <c r="T407" i="1"/>
  <c r="T406" i="1"/>
  <c r="T405" i="1"/>
  <c r="T404" i="1"/>
  <c r="T403" i="1"/>
  <c r="T402" i="1"/>
  <c r="T399" i="1"/>
  <c r="T398" i="1"/>
  <c r="T397" i="1"/>
  <c r="T396" i="1"/>
  <c r="T395" i="1"/>
  <c r="T394" i="1"/>
  <c r="I69" i="1"/>
  <c r="D69" i="1"/>
  <c r="N312" i="1"/>
  <c r="B152" i="4"/>
  <c r="B151" i="4"/>
  <c r="B150" i="4"/>
  <c r="B153" i="4"/>
  <c r="B149" i="4"/>
  <c r="S557" i="1"/>
  <c r="S556" i="1"/>
  <c r="S554" i="1"/>
  <c r="S552" i="1"/>
  <c r="S551" i="1"/>
  <c r="S549" i="1"/>
  <c r="S546" i="1"/>
  <c r="S539" i="1"/>
  <c r="S538" i="1"/>
  <c r="S635" i="1"/>
  <c r="S634" i="1"/>
  <c r="S632" i="1"/>
  <c r="S630" i="1"/>
  <c r="S629" i="1"/>
  <c r="S627" i="1"/>
  <c r="S626" i="1"/>
  <c r="S624" i="1"/>
  <c r="S617" i="1"/>
  <c r="S616" i="1"/>
  <c r="S614" i="1"/>
  <c r="S612" i="1"/>
  <c r="S611" i="1"/>
  <c r="S609" i="1"/>
  <c r="S608" i="1"/>
  <c r="S606" i="1"/>
  <c r="S596" i="1"/>
  <c r="S595" i="1"/>
  <c r="S591" i="1"/>
  <c r="S590" i="1"/>
  <c r="S588" i="1"/>
  <c r="S587" i="1"/>
  <c r="S585" i="1"/>
  <c r="S536" i="1"/>
  <c r="S534" i="1"/>
  <c r="S533" i="1"/>
  <c r="S531" i="1"/>
  <c r="S530" i="1"/>
  <c r="S528" i="1"/>
  <c r="S518" i="1"/>
  <c r="S517" i="1"/>
  <c r="S515" i="1"/>
  <c r="S513" i="1"/>
  <c r="S512" i="1"/>
  <c r="S510" i="1"/>
  <c r="S509" i="1"/>
  <c r="S507" i="1"/>
  <c r="S499" i="1"/>
  <c r="S498" i="1"/>
  <c r="S490" i="1"/>
  <c r="S491" i="1"/>
  <c r="S493" i="1"/>
  <c r="S494" i="1"/>
  <c r="S496" i="1"/>
  <c r="S488" i="1"/>
  <c r="B57" i="4"/>
  <c r="B58" i="4"/>
  <c r="B56" i="4"/>
  <c r="B54" i="4"/>
  <c r="B53" i="4"/>
  <c r="B52" i="4"/>
  <c r="B46" i="4"/>
  <c r="B47" i="4"/>
  <c r="B48" i="4"/>
  <c r="B45" i="4"/>
  <c r="B44" i="4"/>
  <c r="B43" i="4"/>
  <c r="B42" i="4"/>
  <c r="B41" i="4"/>
  <c r="B93" i="1"/>
  <c r="B40" i="4" s="1"/>
  <c r="B218" i="4"/>
  <c r="B8" i="4"/>
  <c r="B7" i="4"/>
  <c r="B6" i="4"/>
  <c r="B872" i="4"/>
  <c r="B871" i="4"/>
  <c r="S673" i="1"/>
  <c r="B870" i="4" s="1"/>
  <c r="B869" i="4"/>
  <c r="B868" i="4"/>
  <c r="B867" i="4"/>
  <c r="B866" i="4"/>
  <c r="B865" i="4"/>
  <c r="S672" i="1"/>
  <c r="B864" i="4" s="1"/>
  <c r="B863" i="4"/>
  <c r="B862" i="4"/>
  <c r="B861" i="4"/>
  <c r="B860" i="4"/>
  <c r="B859" i="4"/>
  <c r="S671" i="1"/>
  <c r="B858" i="4" s="1"/>
  <c r="B857" i="4"/>
  <c r="B856" i="4"/>
  <c r="B855" i="4"/>
  <c r="B854" i="4"/>
  <c r="B853" i="4"/>
  <c r="S670" i="1"/>
  <c r="B852" i="4" s="1"/>
  <c r="B851" i="4"/>
  <c r="B850" i="4"/>
  <c r="B849" i="4"/>
  <c r="B848" i="4"/>
  <c r="B847" i="4"/>
  <c r="S669" i="1"/>
  <c r="B846" i="4" s="1"/>
  <c r="B845" i="4"/>
  <c r="B844" i="4"/>
  <c r="B843" i="4"/>
  <c r="B842" i="4"/>
  <c r="B841" i="4"/>
  <c r="S668" i="1"/>
  <c r="B840" i="4" s="1"/>
  <c r="B839" i="4"/>
  <c r="B838" i="4"/>
  <c r="B837" i="4"/>
  <c r="B836" i="4"/>
  <c r="B835" i="4"/>
  <c r="S667" i="1"/>
  <c r="B834" i="4" s="1"/>
  <c r="B833" i="4"/>
  <c r="B832" i="4"/>
  <c r="B831" i="4"/>
  <c r="B830" i="4"/>
  <c r="B829" i="4"/>
  <c r="R659" i="1"/>
  <c r="B828" i="4" s="1"/>
  <c r="P659" i="1"/>
  <c r="B821" i="4" s="1"/>
  <c r="N659" i="1"/>
  <c r="B814" i="4" s="1"/>
  <c r="L659" i="1"/>
  <c r="B807" i="4" s="1"/>
  <c r="J659" i="1"/>
  <c r="B800" i="4" s="1"/>
  <c r="H659" i="1"/>
  <c r="B793" i="4" s="1"/>
  <c r="F659" i="1"/>
  <c r="B786" i="4" s="1"/>
  <c r="B827" i="4"/>
  <c r="B820" i="4"/>
  <c r="B813" i="4"/>
  <c r="B806" i="4"/>
  <c r="B799" i="4"/>
  <c r="B792" i="4"/>
  <c r="B785" i="4"/>
  <c r="B826" i="4"/>
  <c r="B819" i="4"/>
  <c r="B812" i="4"/>
  <c r="B805" i="4"/>
  <c r="B798" i="4"/>
  <c r="B791" i="4"/>
  <c r="B784" i="4"/>
  <c r="B825" i="4"/>
  <c r="B818" i="4"/>
  <c r="B811" i="4"/>
  <c r="B804" i="4"/>
  <c r="B797" i="4"/>
  <c r="B790" i="4"/>
  <c r="B783" i="4"/>
  <c r="B824" i="4"/>
  <c r="B817" i="4"/>
  <c r="B810" i="4"/>
  <c r="B803" i="4"/>
  <c r="B796" i="4"/>
  <c r="B789" i="4"/>
  <c r="B782" i="4"/>
  <c r="B823" i="4"/>
  <c r="B816" i="4"/>
  <c r="B809" i="4"/>
  <c r="B802" i="4"/>
  <c r="B795" i="4"/>
  <c r="B788" i="4"/>
  <c r="B781" i="4"/>
  <c r="B822" i="4"/>
  <c r="B815" i="4"/>
  <c r="B808" i="4"/>
  <c r="B801" i="4"/>
  <c r="B794" i="4"/>
  <c r="B787" i="4"/>
  <c r="B780" i="4"/>
  <c r="B779" i="4"/>
  <c r="B772" i="4"/>
  <c r="B765" i="4"/>
  <c r="B758" i="4"/>
  <c r="B751" i="4"/>
  <c r="B744" i="4"/>
  <c r="B737" i="4"/>
  <c r="B778" i="4"/>
  <c r="B771" i="4"/>
  <c r="B764" i="4"/>
  <c r="B757" i="4"/>
  <c r="B750" i="4"/>
  <c r="B743" i="4"/>
  <c r="B736" i="4"/>
  <c r="B777" i="4"/>
  <c r="B770" i="4"/>
  <c r="B763" i="4"/>
  <c r="B756" i="4"/>
  <c r="B749" i="4"/>
  <c r="B742" i="4"/>
  <c r="B735" i="4"/>
  <c r="B776" i="4"/>
  <c r="B769" i="4"/>
  <c r="B762" i="4"/>
  <c r="B755" i="4"/>
  <c r="B748" i="4"/>
  <c r="B741" i="4"/>
  <c r="B734" i="4"/>
  <c r="B775" i="4"/>
  <c r="B768" i="4"/>
  <c r="B761" i="4"/>
  <c r="B754" i="4"/>
  <c r="B747" i="4"/>
  <c r="B740" i="4"/>
  <c r="B733" i="4"/>
  <c r="B774" i="4"/>
  <c r="B767" i="4"/>
  <c r="B760" i="4"/>
  <c r="B753" i="4"/>
  <c r="B746" i="4"/>
  <c r="B739" i="4"/>
  <c r="B732" i="4"/>
  <c r="B773" i="4"/>
  <c r="B766" i="4"/>
  <c r="B759" i="4"/>
  <c r="B752" i="4"/>
  <c r="B745" i="4"/>
  <c r="B738" i="4"/>
  <c r="B731" i="4"/>
  <c r="B587" i="4"/>
  <c r="B586" i="4"/>
  <c r="B579" i="4"/>
  <c r="B580" i="4"/>
  <c r="B581" i="4"/>
  <c r="B582" i="4"/>
  <c r="B583" i="4"/>
  <c r="B584" i="4"/>
  <c r="B585" i="4"/>
  <c r="B577" i="4"/>
  <c r="B568" i="4"/>
  <c r="B569" i="4"/>
  <c r="B570" i="4"/>
  <c r="B571" i="4"/>
  <c r="B572" i="4"/>
  <c r="B573" i="4"/>
  <c r="B574" i="4"/>
  <c r="B575" i="4"/>
  <c r="B576" i="4"/>
  <c r="B566" i="4"/>
  <c r="B565" i="4"/>
  <c r="B564" i="4"/>
  <c r="B563" i="4"/>
  <c r="R361" i="1"/>
  <c r="B415" i="4" s="1"/>
  <c r="P361" i="1"/>
  <c r="B408" i="4" s="1"/>
  <c r="N361" i="1"/>
  <c r="B401" i="4" s="1"/>
  <c r="L361" i="1"/>
  <c r="B394" i="4" s="1"/>
  <c r="J361" i="1"/>
  <c r="B387" i="4" s="1"/>
  <c r="H361" i="1"/>
  <c r="B380" i="4" s="1"/>
  <c r="F361" i="1"/>
  <c r="B373" i="4" s="1"/>
  <c r="B414" i="4"/>
  <c r="B407" i="4"/>
  <c r="B400" i="4"/>
  <c r="B393" i="4"/>
  <c r="B386" i="4"/>
  <c r="B379" i="4"/>
  <c r="B372" i="4"/>
  <c r="B413" i="4"/>
  <c r="B406" i="4"/>
  <c r="B399" i="4"/>
  <c r="B392" i="4"/>
  <c r="B385" i="4"/>
  <c r="B378" i="4"/>
  <c r="B371" i="4"/>
  <c r="B412" i="4"/>
  <c r="B405" i="4"/>
  <c r="B398" i="4"/>
  <c r="B391" i="4"/>
  <c r="B384" i="4"/>
  <c r="B377" i="4"/>
  <c r="B370" i="4"/>
  <c r="B411" i="4"/>
  <c r="B404" i="4"/>
  <c r="B397" i="4"/>
  <c r="B390" i="4"/>
  <c r="B383" i="4"/>
  <c r="B376" i="4"/>
  <c r="B369" i="4"/>
  <c r="B410" i="4"/>
  <c r="B403" i="4"/>
  <c r="B396" i="4"/>
  <c r="B389" i="4"/>
  <c r="B382" i="4"/>
  <c r="B375" i="4"/>
  <c r="B368" i="4"/>
  <c r="B409" i="4"/>
  <c r="B402" i="4"/>
  <c r="B395" i="4"/>
  <c r="B388" i="4"/>
  <c r="B381" i="4"/>
  <c r="B374" i="4"/>
  <c r="B367" i="4"/>
  <c r="B365" i="4"/>
  <c r="B358" i="4"/>
  <c r="B351" i="4"/>
  <c r="B344" i="4"/>
  <c r="B337" i="4"/>
  <c r="B330" i="4"/>
  <c r="B323" i="4"/>
  <c r="B364" i="4"/>
  <c r="B357" i="4"/>
  <c r="B350" i="4"/>
  <c r="B343" i="4"/>
  <c r="B336" i="4"/>
  <c r="B329" i="4"/>
  <c r="B322" i="4"/>
  <c r="B363" i="4"/>
  <c r="B356" i="4"/>
  <c r="B349" i="4"/>
  <c r="B342" i="4"/>
  <c r="B335" i="4"/>
  <c r="B328" i="4"/>
  <c r="B321" i="4"/>
  <c r="B362" i="4"/>
  <c r="B355" i="4"/>
  <c r="B348" i="4"/>
  <c r="B341" i="4"/>
  <c r="B334" i="4"/>
  <c r="B327" i="4"/>
  <c r="B320" i="4"/>
  <c r="B361" i="4"/>
  <c r="B354" i="4"/>
  <c r="B347" i="4"/>
  <c r="B340" i="4"/>
  <c r="B333" i="4"/>
  <c r="B326" i="4"/>
  <c r="B319" i="4"/>
  <c r="B360" i="4"/>
  <c r="B353" i="4"/>
  <c r="B346" i="4"/>
  <c r="B339" i="4"/>
  <c r="B332" i="4"/>
  <c r="B325" i="4"/>
  <c r="B318" i="4"/>
  <c r="R344" i="1"/>
  <c r="B317" i="4" s="1"/>
  <c r="P344" i="1"/>
  <c r="B310" i="4" s="1"/>
  <c r="N344" i="1"/>
  <c r="B303" i="4" s="1"/>
  <c r="L344" i="1"/>
  <c r="B296" i="4" s="1"/>
  <c r="J344" i="1"/>
  <c r="B289" i="4" s="1"/>
  <c r="H344" i="1"/>
  <c r="B282" i="4" s="1"/>
  <c r="F344" i="1"/>
  <c r="B275" i="4" s="1"/>
  <c r="B316" i="4"/>
  <c r="B309" i="4"/>
  <c r="B302" i="4"/>
  <c r="B295" i="4"/>
  <c r="B288" i="4"/>
  <c r="B281" i="4"/>
  <c r="B274" i="4"/>
  <c r="B315" i="4"/>
  <c r="B308" i="4"/>
  <c r="B301" i="4"/>
  <c r="B294" i="4"/>
  <c r="B287" i="4"/>
  <c r="B280" i="4"/>
  <c r="B273" i="4"/>
  <c r="B314" i="4"/>
  <c r="B307" i="4"/>
  <c r="B300" i="4"/>
  <c r="B293" i="4"/>
  <c r="B286" i="4"/>
  <c r="B279" i="4"/>
  <c r="B272" i="4"/>
  <c r="B313" i="4"/>
  <c r="B306" i="4"/>
  <c r="B299" i="4"/>
  <c r="B292" i="4"/>
  <c r="B285" i="4"/>
  <c r="B278" i="4"/>
  <c r="B271" i="4"/>
  <c r="B312" i="4"/>
  <c r="B305" i="4"/>
  <c r="B298" i="4"/>
  <c r="B291" i="4"/>
  <c r="B284" i="4"/>
  <c r="B277" i="4"/>
  <c r="B270" i="4"/>
  <c r="B311" i="4"/>
  <c r="B304" i="4"/>
  <c r="B297" i="4"/>
  <c r="B290" i="4"/>
  <c r="B283" i="4"/>
  <c r="B276"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5" i="4"/>
  <c r="B224" i="4"/>
  <c r="B223" i="4"/>
  <c r="B222" i="4"/>
  <c r="B221" i="4"/>
  <c r="B220" i="4"/>
  <c r="B165" i="4"/>
  <c r="B164" i="4"/>
  <c r="B158" i="4"/>
  <c r="B156" i="4"/>
  <c r="B157" i="4"/>
  <c r="B155" i="4"/>
  <c r="B154" i="4"/>
  <c r="B90" i="4"/>
  <c r="B89" i="4"/>
  <c r="B88" i="4"/>
  <c r="B87" i="4"/>
  <c r="B86" i="4"/>
  <c r="B85" i="4"/>
  <c r="B84" i="4"/>
  <c r="B83" i="4"/>
  <c r="B82" i="4"/>
  <c r="B81" i="4"/>
  <c r="B80" i="4"/>
  <c r="B79" i="4"/>
  <c r="B78" i="4"/>
  <c r="B77" i="4"/>
  <c r="B76" i="4"/>
  <c r="B75" i="4"/>
  <c r="B73" i="4"/>
  <c r="B10" i="4"/>
  <c r="T338" i="1"/>
  <c r="T658" i="1"/>
  <c r="T657" i="1"/>
  <c r="T656" i="1"/>
  <c r="T655" i="1"/>
  <c r="T654" i="1"/>
  <c r="T653" i="1"/>
  <c r="T650" i="1"/>
  <c r="T649" i="1"/>
  <c r="T648" i="1"/>
  <c r="T647" i="1"/>
  <c r="T360" i="1"/>
  <c r="T359" i="1"/>
  <c r="T358" i="1"/>
  <c r="T357" i="1"/>
  <c r="T356" i="1"/>
  <c r="T355" i="1"/>
  <c r="T351" i="1"/>
  <c r="T350" i="1"/>
  <c r="T349" i="1"/>
  <c r="T348" i="1"/>
  <c r="T347" i="1"/>
  <c r="T343" i="1"/>
  <c r="T342" i="1"/>
  <c r="T341" i="1"/>
  <c r="T340" i="1"/>
  <c r="T339" i="1"/>
  <c r="T333" i="1"/>
  <c r="T334" i="1"/>
  <c r="T335" i="1"/>
  <c r="Q427" i="1"/>
  <c r="Q428" i="1"/>
  <c r="Q429" i="1"/>
  <c r="Q430" i="1"/>
  <c r="Q431" i="1"/>
  <c r="Q432" i="1"/>
  <c r="Q433" i="1"/>
  <c r="Q426" i="1"/>
  <c r="M292" i="1"/>
  <c r="U292" i="1" s="1"/>
  <c r="M293" i="1"/>
  <c r="U293" i="1" s="1"/>
  <c r="M294" i="1"/>
  <c r="U294" i="1" s="1"/>
  <c r="M295" i="1"/>
  <c r="U295" i="1" s="1"/>
  <c r="M296" i="1"/>
  <c r="U296" i="1" s="1"/>
  <c r="M297" i="1"/>
  <c r="U297" i="1" s="1"/>
  <c r="I298" i="1"/>
  <c r="B192" i="4" s="1"/>
  <c r="P124" i="1"/>
  <c r="P125" i="1"/>
  <c r="P126" i="1"/>
  <c r="P123" i="1"/>
  <c r="B4" i="4"/>
  <c r="B723" i="4"/>
  <c r="B724" i="4"/>
  <c r="B725" i="4"/>
  <c r="B726" i="4"/>
  <c r="B727" i="4"/>
  <c r="B728" i="4"/>
  <c r="B729" i="4"/>
  <c r="B730" i="4"/>
  <c r="B721" i="4"/>
  <c r="B712" i="4"/>
  <c r="B713" i="4"/>
  <c r="B714" i="4"/>
  <c r="B715" i="4"/>
  <c r="B716" i="4"/>
  <c r="B717" i="4"/>
  <c r="B718" i="4"/>
  <c r="B719" i="4"/>
  <c r="B720" i="4"/>
  <c r="B710" i="4"/>
  <c r="B709" i="4"/>
  <c r="B708" i="4"/>
  <c r="B707" i="4"/>
  <c r="B699" i="4"/>
  <c r="B700" i="4"/>
  <c r="B701" i="4"/>
  <c r="B702" i="4"/>
  <c r="B703" i="4"/>
  <c r="B704" i="4"/>
  <c r="B705" i="4"/>
  <c r="B706" i="4"/>
  <c r="B697" i="4"/>
  <c r="B688" i="4"/>
  <c r="B689" i="4"/>
  <c r="B690" i="4"/>
  <c r="B691" i="4"/>
  <c r="B692" i="4"/>
  <c r="B693" i="4"/>
  <c r="B694" i="4"/>
  <c r="B695" i="4"/>
  <c r="B696" i="4"/>
  <c r="B686" i="4"/>
  <c r="B685" i="4"/>
  <c r="B684" i="4"/>
  <c r="B683" i="4"/>
  <c r="B675" i="4"/>
  <c r="B676" i="4"/>
  <c r="B677" i="4"/>
  <c r="B678" i="4"/>
  <c r="B679" i="4"/>
  <c r="B680" i="4"/>
  <c r="B681" i="4"/>
  <c r="B682" i="4"/>
  <c r="B673" i="4"/>
  <c r="B664" i="4"/>
  <c r="B665" i="4"/>
  <c r="B666" i="4"/>
  <c r="B667" i="4"/>
  <c r="B668" i="4"/>
  <c r="B669" i="4"/>
  <c r="B670" i="4"/>
  <c r="B671" i="4"/>
  <c r="B672" i="4"/>
  <c r="B662" i="4"/>
  <c r="B661" i="4"/>
  <c r="B660" i="4"/>
  <c r="B659" i="4"/>
  <c r="B651" i="4"/>
  <c r="B652" i="4"/>
  <c r="B653" i="4"/>
  <c r="B654" i="4"/>
  <c r="B655" i="4"/>
  <c r="B656" i="4"/>
  <c r="B657" i="4"/>
  <c r="B658" i="4"/>
  <c r="B649" i="4"/>
  <c r="B640" i="4"/>
  <c r="B641" i="4"/>
  <c r="B642" i="4"/>
  <c r="B643" i="4"/>
  <c r="B644" i="4"/>
  <c r="B645" i="4"/>
  <c r="B646" i="4"/>
  <c r="B647" i="4"/>
  <c r="B648" i="4"/>
  <c r="B638" i="4"/>
  <c r="B637" i="4"/>
  <c r="B636" i="4"/>
  <c r="B635" i="4"/>
  <c r="B627" i="4"/>
  <c r="B628" i="4"/>
  <c r="B629" i="4"/>
  <c r="B630" i="4"/>
  <c r="B631" i="4"/>
  <c r="B632" i="4"/>
  <c r="B633" i="4"/>
  <c r="B634" i="4"/>
  <c r="B625" i="4"/>
  <c r="B616" i="4"/>
  <c r="B617" i="4"/>
  <c r="B618" i="4"/>
  <c r="B619" i="4"/>
  <c r="B620" i="4"/>
  <c r="B621" i="4"/>
  <c r="B622" i="4"/>
  <c r="B623" i="4"/>
  <c r="B624" i="4"/>
  <c r="B614" i="4"/>
  <c r="B613" i="4"/>
  <c r="B612" i="4"/>
  <c r="B611" i="4"/>
  <c r="B603" i="4"/>
  <c r="B604" i="4"/>
  <c r="B605" i="4"/>
  <c r="B606" i="4"/>
  <c r="B607" i="4"/>
  <c r="B608" i="4"/>
  <c r="B609" i="4"/>
  <c r="B610" i="4"/>
  <c r="B601" i="4"/>
  <c r="B592" i="4"/>
  <c r="B593" i="4"/>
  <c r="B594" i="4"/>
  <c r="B595" i="4"/>
  <c r="B596" i="4"/>
  <c r="B597" i="4"/>
  <c r="B598" i="4"/>
  <c r="B599" i="4"/>
  <c r="B600" i="4"/>
  <c r="B590" i="4"/>
  <c r="B589" i="4"/>
  <c r="B588" i="4"/>
  <c r="B558" i="4"/>
  <c r="B559" i="4"/>
  <c r="B556" i="4"/>
  <c r="B555" i="4"/>
  <c r="B554" i="4"/>
  <c r="B553" i="4"/>
  <c r="B552" i="4"/>
  <c r="B551" i="4"/>
  <c r="B550" i="4"/>
  <c r="B549" i="4"/>
  <c r="B548" i="4"/>
  <c r="B547" i="4"/>
  <c r="B546" i="4"/>
  <c r="B545" i="4"/>
  <c r="B544" i="4"/>
  <c r="B543" i="4"/>
  <c r="B542" i="4"/>
  <c r="B541" i="4"/>
  <c r="B540" i="4"/>
  <c r="B436" i="4"/>
  <c r="B437" i="4"/>
  <c r="B435" i="4"/>
  <c r="B432" i="4"/>
  <c r="B433" i="4"/>
  <c r="B431" i="4"/>
  <c r="B428" i="4"/>
  <c r="B429" i="4"/>
  <c r="B427" i="4"/>
  <c r="B424" i="4"/>
  <c r="B425" i="4"/>
  <c r="B423" i="4"/>
  <c r="B215" i="4"/>
  <c r="B216" i="4"/>
  <c r="B217" i="4"/>
  <c r="B219" i="4"/>
  <c r="B208" i="4"/>
  <c r="B209" i="4"/>
  <c r="B210" i="4"/>
  <c r="B211" i="4"/>
  <c r="B212" i="4"/>
  <c r="B207" i="4"/>
  <c r="B201" i="4"/>
  <c r="B202" i="4"/>
  <c r="B203" i="4"/>
  <c r="B204" i="4"/>
  <c r="B205" i="4"/>
  <c r="B200" i="4"/>
  <c r="B194" i="4"/>
  <c r="B195" i="4"/>
  <c r="B196" i="4"/>
  <c r="B197" i="4"/>
  <c r="B198" i="4"/>
  <c r="B193" i="4"/>
  <c r="B187" i="4"/>
  <c r="B188" i="4"/>
  <c r="B189" i="4"/>
  <c r="B190" i="4"/>
  <c r="B191" i="4"/>
  <c r="B186" i="4"/>
  <c r="B180" i="4"/>
  <c r="B181" i="4"/>
  <c r="B182" i="4"/>
  <c r="B183" i="4"/>
  <c r="B184" i="4"/>
  <c r="B179" i="4"/>
  <c r="B178" i="4"/>
  <c r="B69" i="4"/>
  <c r="B70" i="4"/>
  <c r="B71" i="4"/>
  <c r="B72" i="4"/>
  <c r="B68" i="4"/>
  <c r="B67" i="4"/>
  <c r="B66" i="4"/>
  <c r="B65" i="4"/>
  <c r="B64" i="4"/>
  <c r="B63" i="4"/>
  <c r="B62" i="4"/>
  <c r="B61" i="4"/>
  <c r="B60" i="4"/>
  <c r="B59" i="4"/>
  <c r="B39" i="4"/>
  <c r="B38" i="4"/>
  <c r="B37" i="4"/>
  <c r="B36" i="4"/>
  <c r="B35" i="4"/>
  <c r="B33" i="4"/>
  <c r="B32" i="4"/>
  <c r="B31" i="4"/>
  <c r="B30" i="4"/>
  <c r="B29" i="4"/>
  <c r="B28" i="4"/>
  <c r="B27" i="4"/>
  <c r="B26" i="4"/>
  <c r="B23" i="4"/>
  <c r="B22" i="4"/>
  <c r="B21" i="4"/>
  <c r="B20" i="4"/>
  <c r="B19" i="4"/>
  <c r="B16" i="4"/>
  <c r="B15" i="4"/>
  <c r="B14" i="4"/>
  <c r="B12" i="4"/>
  <c r="B11" i="4"/>
  <c r="B9" i="4"/>
  <c r="B5" i="4"/>
  <c r="B3" i="4"/>
  <c r="B2" i="4"/>
  <c r="B626" i="4"/>
  <c r="B615" i="4"/>
  <c r="B81" i="1"/>
  <c r="B25" i="4" s="1"/>
  <c r="R298" i="1"/>
  <c r="B213" i="4" s="1"/>
  <c r="P298" i="1"/>
  <c r="B206" i="4" s="1"/>
  <c r="B86" i="1"/>
  <c r="B34" i="4" s="1"/>
  <c r="B76" i="1"/>
  <c r="O76" i="1" s="1"/>
  <c r="B24" i="4" s="1"/>
  <c r="B214" i="4"/>
  <c r="T400" i="1" l="1"/>
  <c r="G120" i="12"/>
  <c r="T1" i="1"/>
  <c r="T408" i="1"/>
  <c r="M298" i="1"/>
  <c r="U298" i="1" s="1"/>
  <c r="B732" i="1"/>
  <c r="AG353" i="1"/>
  <c r="S607" i="1"/>
  <c r="S508" i="1"/>
  <c r="B185" i="4"/>
  <c r="B698" i="4"/>
  <c r="B578" i="4"/>
  <c r="AO353" i="1"/>
  <c r="AE336" i="1"/>
  <c r="AI353" i="1"/>
  <c r="S529" i="1"/>
  <c r="S568" i="1"/>
  <c r="AQ352" i="1"/>
  <c r="T361" i="1"/>
  <c r="S586" i="1"/>
  <c r="AK353" i="1"/>
  <c r="AG336" i="1"/>
  <c r="AI336" i="1"/>
  <c r="AM353" i="1"/>
  <c r="AM336" i="1"/>
  <c r="AE353" i="1"/>
  <c r="AK336" i="1"/>
  <c r="AO336" i="1"/>
  <c r="AC353" i="1"/>
  <c r="AQ330" i="1"/>
  <c r="AC336" i="1"/>
  <c r="S489" i="1"/>
  <c r="B17" i="4"/>
  <c r="T659" i="1"/>
  <c r="T336" i="1"/>
  <c r="T651" i="1"/>
  <c r="B18" i="4"/>
  <c r="T69" i="1"/>
  <c r="T344" i="1"/>
  <c r="S625" i="1"/>
  <c r="C28" i="12"/>
  <c r="L692" i="1"/>
  <c r="B879" i="4" s="1"/>
  <c r="L721" i="1"/>
  <c r="B902" i="4" s="1"/>
  <c r="O727" i="1"/>
  <c r="L687" i="1"/>
  <c r="B874" i="4" s="1"/>
  <c r="L693" i="1"/>
  <c r="B880" i="4" s="1"/>
  <c r="L707" i="1"/>
  <c r="L709" i="1"/>
  <c r="L711" i="1"/>
  <c r="B892" i="4" s="1"/>
  <c r="L713" i="1"/>
  <c r="E64" i="12" s="1"/>
  <c r="L688" i="1"/>
  <c r="B875" i="4" s="1"/>
  <c r="L691" i="1"/>
  <c r="B878" i="4" s="1"/>
  <c r="L705" i="1"/>
  <c r="B886" i="4" s="1"/>
  <c r="L720" i="1"/>
  <c r="L725" i="1"/>
  <c r="B881" i="4"/>
  <c r="L714" i="1"/>
  <c r="B895" i="4" s="1"/>
  <c r="L716" i="1"/>
  <c r="L718" i="1"/>
  <c r="L722" i="1"/>
  <c r="B903" i="4" s="1"/>
  <c r="L689" i="1"/>
  <c r="B876" i="4" s="1"/>
  <c r="L703" i="1"/>
  <c r="L708" i="1"/>
  <c r="B889" i="4" s="1"/>
  <c r="L710" i="1"/>
  <c r="B891" i="4" s="1"/>
  <c r="L712" i="1"/>
  <c r="L723" i="1"/>
  <c r="B904" i="4" s="1"/>
  <c r="L706" i="1"/>
  <c r="L726" i="1"/>
  <c r="R727" i="1"/>
  <c r="L690" i="1"/>
  <c r="B877" i="4" s="1"/>
  <c r="L704" i="1"/>
  <c r="L715" i="1"/>
  <c r="B896" i="4" s="1"/>
  <c r="L717" i="1"/>
  <c r="B898" i="4" s="1"/>
  <c r="L719" i="1"/>
  <c r="L724" i="1"/>
  <c r="B905" i="4" s="1"/>
  <c r="AQ342" i="1"/>
  <c r="AO400" i="1"/>
  <c r="AQ397" i="1"/>
  <c r="AQ406" i="1"/>
  <c r="AQ407" i="1"/>
  <c r="AQ358" i="1"/>
  <c r="AG400" i="1"/>
  <c r="AC408" i="1"/>
  <c r="AK408" i="1"/>
  <c r="AQ403" i="1"/>
  <c r="AQ338" i="1"/>
  <c r="AM344" i="1"/>
  <c r="AG361" i="1"/>
  <c r="AO361" i="1"/>
  <c r="AQ349" i="1"/>
  <c r="AE344" i="1"/>
  <c r="AQ334" i="1"/>
  <c r="AQ335" i="1"/>
  <c r="AC344" i="1"/>
  <c r="AK344" i="1"/>
  <c r="AQ339" i="1"/>
  <c r="AG344" i="1"/>
  <c r="AO344" i="1"/>
  <c r="AQ341" i="1"/>
  <c r="AQ343" i="1"/>
  <c r="AQ348" i="1"/>
  <c r="AE361" i="1"/>
  <c r="AM361" i="1"/>
  <c r="AQ356" i="1"/>
  <c r="AI361" i="1"/>
  <c r="AC361" i="1"/>
  <c r="AK361" i="1"/>
  <c r="AQ359" i="1"/>
  <c r="AQ360" i="1"/>
  <c r="AK400" i="1"/>
  <c r="AQ395" i="1"/>
  <c r="AM400" i="1"/>
  <c r="AQ396" i="1"/>
  <c r="AI400" i="1"/>
  <c r="AC400" i="1"/>
  <c r="AQ399" i="1"/>
  <c r="AQ402" i="1"/>
  <c r="AO408" i="1"/>
  <c r="AI408" i="1"/>
  <c r="AQ404" i="1"/>
  <c r="AE408" i="1"/>
  <c r="AM408" i="1"/>
  <c r="AQ333" i="1"/>
  <c r="AQ350" i="1"/>
  <c r="AQ355" i="1"/>
  <c r="AQ394" i="1"/>
  <c r="AQ398" i="1"/>
  <c r="AE400" i="1"/>
  <c r="AQ340" i="1"/>
  <c r="AI344" i="1"/>
  <c r="AQ347" i="1"/>
  <c r="AQ351" i="1"/>
  <c r="AQ405" i="1"/>
  <c r="AG408" i="1"/>
  <c r="AQ357" i="1"/>
  <c r="B899" i="4" l="1"/>
  <c r="C74" i="12"/>
  <c r="I102" i="12" s="1"/>
  <c r="B900" i="4"/>
  <c r="E74" i="12"/>
  <c r="E105" i="12" s="1"/>
  <c r="B897" i="4"/>
  <c r="C79" i="12"/>
  <c r="B894" i="4"/>
  <c r="B893" i="4"/>
  <c r="C84" i="12"/>
  <c r="B890" i="4"/>
  <c r="C69" i="12"/>
  <c r="B885" i="4"/>
  <c r="E18" i="12"/>
  <c r="B888" i="4"/>
  <c r="C64" i="12"/>
  <c r="C92" i="12" s="1"/>
  <c r="B901" i="4"/>
  <c r="G7" i="12"/>
  <c r="B887" i="4"/>
  <c r="G5" i="12"/>
  <c r="B906" i="4"/>
  <c r="B907" i="4"/>
  <c r="B884" i="4"/>
  <c r="B882" i="4"/>
  <c r="U708" i="1"/>
  <c r="C33" i="12"/>
  <c r="E97" i="12" s="1"/>
  <c r="U714" i="1"/>
  <c r="U709" i="1"/>
  <c r="U721" i="1"/>
  <c r="U707" i="1"/>
  <c r="U712" i="1"/>
  <c r="U715" i="1"/>
  <c r="U710" i="1"/>
  <c r="U718" i="1"/>
  <c r="U717" i="1"/>
  <c r="U716" i="1"/>
  <c r="U711" i="1"/>
  <c r="AQ353" i="1"/>
  <c r="G28" i="12"/>
  <c r="G92" i="12"/>
  <c r="E58" i="12"/>
  <c r="I58" i="12" s="1"/>
  <c r="L727" i="1"/>
  <c r="AQ361" i="1"/>
  <c r="AQ408" i="1"/>
  <c r="AQ344" i="1"/>
  <c r="AQ400" i="1"/>
  <c r="AQ336" i="1"/>
  <c r="E102" i="12" l="1"/>
  <c r="E84" i="12"/>
  <c r="E92" i="12"/>
  <c r="G102" i="12"/>
  <c r="G84" i="12"/>
  <c r="E13" i="12"/>
  <c r="C18" i="12"/>
  <c r="G18" i="12" s="1"/>
  <c r="G64" i="12" s="1"/>
  <c r="G9" i="12"/>
  <c r="C13" i="12" s="1"/>
  <c r="B908" i="4"/>
  <c r="G33" i="12"/>
  <c r="G105" i="12"/>
  <c r="I105" i="12" s="1"/>
  <c r="G109" i="12" s="1"/>
  <c r="B359" i="4"/>
  <c r="B324" i="4"/>
  <c r="B331" i="4"/>
  <c r="B352" i="4"/>
  <c r="B338" i="4"/>
  <c r="B345" i="4"/>
  <c r="B366" i="4"/>
  <c r="C97" i="12" l="1"/>
  <c r="G87" i="12"/>
  <c r="I87" i="12" s="1"/>
  <c r="C38" i="12"/>
  <c r="G38" i="12" s="1"/>
  <c r="C102" i="12"/>
  <c r="I64" i="12"/>
  <c r="C53" i="12"/>
  <c r="G53" i="12" s="1"/>
  <c r="C43" i="12"/>
  <c r="G43" i="12" s="1"/>
  <c r="E79" i="12"/>
  <c r="G79" i="12" s="1"/>
  <c r="C48" i="12"/>
  <c r="G48" i="12" s="1"/>
  <c r="G74" i="12"/>
  <c r="I74" i="12" s="1"/>
  <c r="E69" i="12"/>
  <c r="G69" i="12" s="1"/>
  <c r="G13" i="12"/>
</calcChain>
</file>

<file path=xl/sharedStrings.xml><?xml version="1.0" encoding="utf-8"?>
<sst xmlns="http://schemas.openxmlformats.org/spreadsheetml/2006/main" count="4516" uniqueCount="2052">
  <si>
    <t>名</t>
  </si>
  <si>
    <t>＋</t>
  </si>
  <si>
    <t>＝</t>
  </si>
  <si>
    <t>合計</t>
  </si>
  <si>
    <t>円</t>
  </si>
  <si>
    <t>施設雇用職員</t>
  </si>
  <si>
    <t>介護福祉士資格の有無</t>
  </si>
  <si>
    <t>高校卒</t>
  </si>
  <si>
    <t>あり</t>
  </si>
  <si>
    <t>なし</t>
  </si>
  <si>
    <t>短大・専門学校卒</t>
  </si>
  <si>
    <t>金額</t>
  </si>
  <si>
    <t>資格の有無</t>
  </si>
  <si>
    <t>資格　なし</t>
  </si>
  <si>
    <t>項　　目</t>
  </si>
  <si>
    <t>日常生活継続支援加算</t>
  </si>
  <si>
    <t>サービス提供体制強化加算</t>
  </si>
  <si>
    <t>看護体制加算（Ⅰ）</t>
  </si>
  <si>
    <t>看護体制加算（Ⅱ）</t>
  </si>
  <si>
    <t>夜勤職員配置加算（Ⅰ）</t>
  </si>
  <si>
    <t>夜勤職員配置加算（Ⅱ）</t>
  </si>
  <si>
    <t>精神科医療養指導加算</t>
  </si>
  <si>
    <t>認知症専門ケア加算</t>
  </si>
  <si>
    <t>認知症行動・心理症状緊急対応加算</t>
  </si>
  <si>
    <t>個別機能訓練加算</t>
  </si>
  <si>
    <t>栄養マネジメント加算</t>
  </si>
  <si>
    <t>経口移行加算</t>
  </si>
  <si>
    <t>経口維持加算</t>
  </si>
  <si>
    <t>療養食加算</t>
  </si>
  <si>
    <t>看取り介護加算</t>
  </si>
  <si>
    <t>準ユニットケア加算</t>
  </si>
  <si>
    <t>常勤医師配置加算</t>
  </si>
  <si>
    <t>障害者生活支援体制加算</t>
  </si>
  <si>
    <t>外泊時費用</t>
  </si>
  <si>
    <t>初期加算</t>
  </si>
  <si>
    <t>退所前訪問相談援助加算</t>
  </si>
  <si>
    <t>退所後訪問相談援助加算</t>
  </si>
  <si>
    <t>退所時相談援助加算</t>
  </si>
  <si>
    <t>退所前連携加算</t>
  </si>
  <si>
    <t>在宅復帰支援機能加算</t>
  </si>
  <si>
    <t>在宅・入所相互利用加算</t>
  </si>
  <si>
    <t>若年性認知症入所者受入加算</t>
  </si>
  <si>
    <t>設定単価</t>
  </si>
  <si>
    <t>基準費用額（参考）</t>
  </si>
  <si>
    <t>食費（日額）</t>
  </si>
  <si>
    <t>居住費（多床室、日額）</t>
  </si>
  <si>
    <t>居住費（従来型個室、日額）</t>
  </si>
  <si>
    <t>居住費（ユニット型準個室、日額）</t>
  </si>
  <si>
    <t>居住費（ユニット型個室、日額）</t>
  </si>
  <si>
    <t>20歳未満</t>
  </si>
  <si>
    <t>4年制大学卒</t>
  </si>
  <si>
    <t>①加算Ⅰ イ  　②加算Ⅰ ロ　 　③無</t>
  </si>
  <si>
    <t>①加算Ⅱ イ    ②加算Ⅱ ロ　 　③無</t>
  </si>
  <si>
    <t>①加算Ⅰ　     ②加算Ⅱ  　　　③無</t>
  </si>
  <si>
    <t>要介護1</t>
  </si>
  <si>
    <t>要介護2</t>
  </si>
  <si>
    <t>要介護3</t>
  </si>
  <si>
    <t>要介護4</t>
  </si>
  <si>
    <t>要介護5</t>
  </si>
  <si>
    <t>第2段階</t>
  </si>
  <si>
    <t>第3段階</t>
  </si>
  <si>
    <t>第4段階</t>
  </si>
  <si>
    <t>利用者負担第4段階</t>
  </si>
  <si>
    <t>1,380円</t>
  </si>
  <si>
    <t>320円</t>
  </si>
  <si>
    <t>1,150円</t>
  </si>
  <si>
    <t>1,640円</t>
  </si>
  <si>
    <t>1,970円</t>
  </si>
  <si>
    <t>施設コード</t>
    <phoneticPr fontId="10"/>
  </si>
  <si>
    <t>年</t>
    <rPh sb="0" eb="1">
      <t>ネン</t>
    </rPh>
    <phoneticPr fontId="10"/>
  </si>
  <si>
    <t>西暦</t>
    <rPh sb="0" eb="2">
      <t>セイレキ</t>
    </rPh>
    <phoneticPr fontId="10"/>
  </si>
  <si>
    <t>名</t>
    <rPh sb="0" eb="1">
      <t>メイ</t>
    </rPh>
    <phoneticPr fontId="10"/>
  </si>
  <si>
    <t>●</t>
    <phoneticPr fontId="10"/>
  </si>
  <si>
    <t>円</t>
    <rPh sb="0" eb="1">
      <t>エン</t>
    </rPh>
    <phoneticPr fontId="10"/>
  </si>
  <si>
    <t>※3</t>
    <phoneticPr fontId="10"/>
  </si>
  <si>
    <t>学歴・年齢等問わずに、一律で支給されている場合は、当欄にご記入ください。例えば、基本給は一律で、介護福祉士資格の有無や職位や条件によって、上乗せ部分がある給与体系など。</t>
    <phoneticPr fontId="10"/>
  </si>
  <si>
    <t>給食委託は委託費総額のうち調理職員の人件費や間接経費に該当する金額をご記入ください。ただし、食材費などは除きます。</t>
    <phoneticPr fontId="10"/>
  </si>
  <si>
    <t>●</t>
    <phoneticPr fontId="10"/>
  </si>
  <si>
    <t>定員100名、稼働率100％の場合→100名×365日＝36,500名</t>
    <phoneticPr fontId="10"/>
  </si>
  <si>
    <t>●</t>
    <phoneticPr fontId="10"/>
  </si>
  <si>
    <t>名</t>
    <rPh sb="0" eb="1">
      <t>メイ</t>
    </rPh>
    <phoneticPr fontId="10"/>
  </si>
  <si>
    <t>＋</t>
    <phoneticPr fontId="10"/>
  </si>
  <si>
    <t>※</t>
    <phoneticPr fontId="10"/>
  </si>
  <si>
    <t>平均要介護度</t>
    <rPh sb="0" eb="2">
      <t>ヘイキン</t>
    </rPh>
    <rPh sb="2" eb="5">
      <t>ヨウカイゴ</t>
    </rPh>
    <rPh sb="5" eb="6">
      <t>ド</t>
    </rPh>
    <phoneticPr fontId="10"/>
  </si>
  <si>
    <t>第1段階
自己負担あり</t>
    <phoneticPr fontId="10"/>
  </si>
  <si>
    <t>第1段階
自己負担なし</t>
    <phoneticPr fontId="10"/>
  </si>
  <si>
    <t>「利用者負担第4段階」の食費・居住費、その他負担額についてご記入ください。</t>
    <phoneticPr fontId="10"/>
  </si>
  <si>
    <t>食費及び居住費、その他負担額は設定単価（契約）の日額、月額で設定している場合には、月額を「30.4日」で割って日額に換算してご記入ください。</t>
    <phoneticPr fontId="10"/>
  </si>
  <si>
    <t>介護福祉士</t>
    <rPh sb="0" eb="2">
      <t>カイゴ</t>
    </rPh>
    <rPh sb="2" eb="5">
      <t>フクシシ</t>
    </rPh>
    <phoneticPr fontId="10"/>
  </si>
  <si>
    <t>資格
あり</t>
    <phoneticPr fontId="10"/>
  </si>
  <si>
    <t>介護職員処遇改善加算</t>
    <rPh sb="0" eb="2">
      <t>カイゴ</t>
    </rPh>
    <rPh sb="2" eb="4">
      <t>ショクイン</t>
    </rPh>
    <phoneticPr fontId="10"/>
  </si>
  <si>
    <t>回答欄</t>
    <rPh sb="0" eb="2">
      <t>カイトウ</t>
    </rPh>
    <rPh sb="2" eb="3">
      <t>ラン</t>
    </rPh>
    <phoneticPr fontId="10"/>
  </si>
  <si>
    <t>該当する番号を回答欄に入力してください。</t>
    <rPh sb="4" eb="6">
      <t>バンゴウ</t>
    </rPh>
    <rPh sb="7" eb="9">
      <t>カイトウ</t>
    </rPh>
    <rPh sb="9" eb="10">
      <t>ラン</t>
    </rPh>
    <rPh sb="11" eb="13">
      <t>ニュウリョク</t>
    </rPh>
    <phoneticPr fontId="10"/>
  </si>
  <si>
    <t>合計人数※</t>
    <rPh sb="0" eb="2">
      <t>ゴウケイ</t>
    </rPh>
    <rPh sb="2" eb="4">
      <t>ニンズウ</t>
    </rPh>
    <phoneticPr fontId="10"/>
  </si>
  <si>
    <t>Ⅰ.入力方法</t>
    <rPh sb="2" eb="4">
      <t>ニュウリョク</t>
    </rPh>
    <rPh sb="4" eb="6">
      <t>ホウホウ</t>
    </rPh>
    <phoneticPr fontId="10"/>
  </si>
  <si>
    <t>①「調査票」シートには保護がかかっています。</t>
    <rPh sb="2" eb="5">
      <t>チョウサヒョウ</t>
    </rPh>
    <rPh sb="11" eb="13">
      <t>ホゴ</t>
    </rPh>
    <phoneticPr fontId="10"/>
  </si>
  <si>
    <t>⑤設問の中には自動的に計算される箇所がございます。</t>
    <rPh sb="1" eb="3">
      <t>セツモン</t>
    </rPh>
    <rPh sb="4" eb="5">
      <t>ナカ</t>
    </rPh>
    <rPh sb="7" eb="10">
      <t>ジドウテキ</t>
    </rPh>
    <rPh sb="11" eb="13">
      <t>ケイサン</t>
    </rPh>
    <rPh sb="16" eb="18">
      <t>カショ</t>
    </rPh>
    <phoneticPr fontId="10"/>
  </si>
  <si>
    <t>①</t>
    <phoneticPr fontId="10"/>
  </si>
  <si>
    <t>②</t>
    <phoneticPr fontId="10"/>
  </si>
  <si>
    <t>TEL</t>
    <phoneticPr fontId="10"/>
  </si>
  <si>
    <t>FAX</t>
    <phoneticPr fontId="10"/>
  </si>
  <si>
    <t>記入者名</t>
    <phoneticPr fontId="10"/>
  </si>
  <si>
    <t>介護職員初任者研修課程修了（旧ヘルパー2級相当）</t>
    <rPh sb="0" eb="2">
      <t>カイゴ</t>
    </rPh>
    <rPh sb="2" eb="4">
      <t>ショクイン</t>
    </rPh>
    <rPh sb="4" eb="7">
      <t>ショニンシャ</t>
    </rPh>
    <rPh sb="7" eb="9">
      <t>ケンシュウ</t>
    </rPh>
    <rPh sb="9" eb="11">
      <t>カテイ</t>
    </rPh>
    <rPh sb="11" eb="13">
      <t>シュウリョウ</t>
    </rPh>
    <rPh sb="14" eb="15">
      <t>キュウ</t>
    </rPh>
    <rPh sb="20" eb="21">
      <t>キュウ</t>
    </rPh>
    <rPh sb="21" eb="23">
      <t>ソウトウ</t>
    </rPh>
    <phoneticPr fontId="10"/>
  </si>
  <si>
    <t>お問合せ先電話番号が通話中でつながらない場合、誠にお手数ではありますが、 お掛け直し頂けますようお願い申し上げます。</t>
    <phoneticPr fontId="10"/>
  </si>
  <si>
    <t>※</t>
    <phoneticPr fontId="10"/>
  </si>
  <si>
    <t>記入者役職</t>
    <rPh sb="0" eb="3">
      <t>キニュウシャ</t>
    </rPh>
    <rPh sb="3" eb="5">
      <t>ヤクショク</t>
    </rPh>
    <phoneticPr fontId="10"/>
  </si>
  <si>
    <t>Ⅱ.印刷方法・提出方法</t>
    <rPh sb="2" eb="4">
      <t>インサツ</t>
    </rPh>
    <rPh sb="4" eb="6">
      <t>ホウホウ</t>
    </rPh>
    <rPh sb="7" eb="9">
      <t>テイシュツ</t>
    </rPh>
    <rPh sb="9" eb="11">
      <t>ホウホウ</t>
    </rPh>
    <phoneticPr fontId="10"/>
  </si>
  <si>
    <t>区</t>
    <rPh sb="0" eb="1">
      <t>ク</t>
    </rPh>
    <phoneticPr fontId="10"/>
  </si>
  <si>
    <t>円</t>
    <rPh sb="0" eb="1">
      <t>エン</t>
    </rPh>
    <phoneticPr fontId="10"/>
  </si>
  <si>
    <t>⑥削除する場合は、該当セルを選択して、「Delete」または「Backspace」キーを押してください。</t>
    <rPh sb="1" eb="3">
      <t>サクジョ</t>
    </rPh>
    <rPh sb="5" eb="7">
      <t>バアイ</t>
    </rPh>
    <rPh sb="9" eb="11">
      <t>ガイトウ</t>
    </rPh>
    <rPh sb="14" eb="16">
      <t>センタク</t>
    </rPh>
    <rPh sb="44" eb="45">
      <t>オ</t>
    </rPh>
    <phoneticPr fontId="10"/>
  </si>
  <si>
    <t>●</t>
    <phoneticPr fontId="10"/>
  </si>
  <si>
    <t>口腔衛生管理体制加算</t>
    <rPh sb="0" eb="2">
      <t>コウクウ</t>
    </rPh>
    <rPh sb="2" eb="4">
      <t>エイセイ</t>
    </rPh>
    <rPh sb="4" eb="6">
      <t>カンリ</t>
    </rPh>
    <rPh sb="6" eb="8">
      <t>タイセイ</t>
    </rPh>
    <rPh sb="8" eb="10">
      <t>カサン</t>
    </rPh>
    <phoneticPr fontId="10"/>
  </si>
  <si>
    <t>口腔衛生管理加算</t>
    <rPh sb="0" eb="2">
      <t>コウクウ</t>
    </rPh>
    <rPh sb="2" eb="4">
      <t>エイセイ</t>
    </rPh>
    <rPh sb="4" eb="6">
      <t>カンリ</t>
    </rPh>
    <rPh sb="6" eb="8">
      <t>カサン</t>
    </rPh>
    <phoneticPr fontId="10"/>
  </si>
  <si>
    <t>①加算Ⅰイ ②加算Ⅰロ ③加算Ⅱ ④加算Ⅲ ⑤無</t>
    <rPh sb="13" eb="15">
      <t>カサン</t>
    </rPh>
    <phoneticPr fontId="10"/>
  </si>
  <si>
    <t>勤続年数</t>
    <rPh sb="0" eb="2">
      <t>キンゾク</t>
    </rPh>
    <rPh sb="2" eb="4">
      <t>ネンスウ</t>
    </rPh>
    <phoneticPr fontId="10"/>
  </si>
  <si>
    <t>1年未満</t>
    <rPh sb="1" eb="2">
      <t>ネン</t>
    </rPh>
    <rPh sb="2" eb="4">
      <t>ミマン</t>
    </rPh>
    <phoneticPr fontId="10"/>
  </si>
  <si>
    <t>男性</t>
    <rPh sb="0" eb="2">
      <t>ダンセイ</t>
    </rPh>
    <phoneticPr fontId="10"/>
  </si>
  <si>
    <t>女性</t>
    <rPh sb="0" eb="2">
      <t>ジョセイ</t>
    </rPh>
    <phoneticPr fontId="10"/>
  </si>
  <si>
    <t>中途採用者</t>
    <rPh sb="0" eb="2">
      <t>チュウト</t>
    </rPh>
    <rPh sb="2" eb="5">
      <t>サイヨウシャ</t>
    </rPh>
    <phoneticPr fontId="10"/>
  </si>
  <si>
    <t>新卒採用者</t>
    <rPh sb="0" eb="2">
      <t>シンソツ</t>
    </rPh>
    <rPh sb="2" eb="4">
      <t>サイヨウ</t>
    </rPh>
    <rPh sb="4" eb="5">
      <t>シャ</t>
    </rPh>
    <phoneticPr fontId="10"/>
  </si>
  <si>
    <t>記入上の注意点</t>
  </si>
  <si>
    <t>項目</t>
  </si>
  <si>
    <t>性別</t>
  </si>
  <si>
    <t>年齢</t>
  </si>
  <si>
    <t>勤続年数</t>
  </si>
  <si>
    <t>管理職</t>
  </si>
  <si>
    <t>介護職の人数</t>
  </si>
  <si>
    <t>1名</t>
  </si>
  <si>
    <t>A 200,000</t>
  </si>
  <si>
    <t>F 210,000</t>
  </si>
  <si>
    <t>K 220,000</t>
  </si>
  <si>
    <t>P 230,000</t>
  </si>
  <si>
    <t>T 240,000</t>
  </si>
  <si>
    <t>W250,000</t>
  </si>
  <si>
    <t>2名</t>
  </si>
  <si>
    <t>B 180,000</t>
  </si>
  <si>
    <t>G 190,000</t>
  </si>
  <si>
    <t>L 200,000</t>
  </si>
  <si>
    <t>Q 210,000</t>
  </si>
  <si>
    <t>U 230,000</t>
  </si>
  <si>
    <t>X 240,000</t>
  </si>
  <si>
    <t>3名</t>
  </si>
  <si>
    <t>C 170,000</t>
  </si>
  <si>
    <t>H 180,000</t>
  </si>
  <si>
    <t>M 190,000</t>
  </si>
  <si>
    <t>R 200,000</t>
  </si>
  <si>
    <t>V 220,000</t>
  </si>
  <si>
    <t>Y 240,000</t>
  </si>
  <si>
    <t>4名</t>
  </si>
  <si>
    <t>D 160,000</t>
  </si>
  <si>
    <t>I 170,000</t>
  </si>
  <si>
    <t>N 180,000</t>
  </si>
  <si>
    <t>S 190,000</t>
  </si>
  <si>
    <t>―</t>
  </si>
  <si>
    <t>Z 240,000</t>
  </si>
  <si>
    <t>5名</t>
  </si>
  <si>
    <t>E 150,000</t>
  </si>
  <si>
    <t>J 160,000</t>
  </si>
  <si>
    <t>O 170,000</t>
    <phoneticPr fontId="10"/>
  </si>
  <si>
    <t>AA 230,000</t>
  </si>
  <si>
    <t>年齢</t>
    <rPh sb="0" eb="2">
      <t>ネンレイ</t>
    </rPh>
    <phoneticPr fontId="10"/>
  </si>
  <si>
    <t>歳</t>
    <rPh sb="0" eb="1">
      <t>サイ</t>
    </rPh>
    <phoneticPr fontId="10"/>
  </si>
  <si>
    <t>管理職
別紙．2参照</t>
    <phoneticPr fontId="10"/>
  </si>
  <si>
    <t>10年以上</t>
    <rPh sb="2" eb="5">
      <t>ネンイジョウ</t>
    </rPh>
    <phoneticPr fontId="10"/>
  </si>
  <si>
    <t>本給（単月分）</t>
    <rPh sb="0" eb="2">
      <t>ホンキュウ</t>
    </rPh>
    <rPh sb="3" eb="4">
      <t>タン</t>
    </rPh>
    <rPh sb="4" eb="5">
      <t>ヅキ</t>
    </rPh>
    <rPh sb="5" eb="6">
      <t>ブン</t>
    </rPh>
    <phoneticPr fontId="10"/>
  </si>
  <si>
    <t>①有　　　　②無</t>
    <phoneticPr fontId="10"/>
  </si>
  <si>
    <t>①有　  　　②無</t>
    <phoneticPr fontId="10"/>
  </si>
  <si>
    <t>退職者については、同一法人内異動を含む勤続年数区分ごとに回答してください。</t>
    <rPh sb="0" eb="3">
      <t>タイショクシャ</t>
    </rPh>
    <rPh sb="23" eb="25">
      <t>クブン</t>
    </rPh>
    <phoneticPr fontId="10"/>
  </si>
  <si>
    <t>Ⅰ</t>
    <phoneticPr fontId="10"/>
  </si>
  <si>
    <t>Ⅱb</t>
    <phoneticPr fontId="10"/>
  </si>
  <si>
    <t>Ⅱa</t>
    <phoneticPr fontId="10"/>
  </si>
  <si>
    <t>Ⅲa</t>
    <phoneticPr fontId="10"/>
  </si>
  <si>
    <t>Ⅲb</t>
    <phoneticPr fontId="10"/>
  </si>
  <si>
    <t>Ⅳ</t>
    <phoneticPr fontId="10"/>
  </si>
  <si>
    <t>M</t>
    <phoneticPr fontId="10"/>
  </si>
  <si>
    <t>項目</t>
    <rPh sb="0" eb="2">
      <t>コウモク</t>
    </rPh>
    <phoneticPr fontId="10"/>
  </si>
  <si>
    <t>調理を外部委託している場合は、委託会社にご確認の上、調理職員の実人数及び常勤換算職員数をご記入ください。</t>
    <rPh sb="31" eb="32">
      <t>ジツ</t>
    </rPh>
    <rPh sb="32" eb="34">
      <t>ニンズウ</t>
    </rPh>
    <rPh sb="34" eb="35">
      <t>オヨ</t>
    </rPh>
    <phoneticPr fontId="10"/>
  </si>
  <si>
    <t>夜勤回数</t>
    <rPh sb="0" eb="2">
      <t>ヤキン</t>
    </rPh>
    <rPh sb="2" eb="4">
      <t>カイスウ</t>
    </rPh>
    <phoneticPr fontId="10"/>
  </si>
  <si>
    <t>時間外勤務時間</t>
    <rPh sb="0" eb="3">
      <t>ジカンガイ</t>
    </rPh>
    <rPh sb="3" eb="5">
      <t>キンム</t>
    </rPh>
    <rPh sb="5" eb="7">
      <t>ジカン</t>
    </rPh>
    <phoneticPr fontId="10"/>
  </si>
  <si>
    <t>回</t>
    <rPh sb="0" eb="1">
      <t>カイ</t>
    </rPh>
    <phoneticPr fontId="10"/>
  </si>
  <si>
    <t>時間</t>
    <rPh sb="0" eb="2">
      <t>ジカン</t>
    </rPh>
    <phoneticPr fontId="10"/>
  </si>
  <si>
    <t>⇒　　昇給した場合　　⇒</t>
    <rPh sb="3" eb="5">
      <t>ショウキュウ</t>
    </rPh>
    <rPh sb="7" eb="9">
      <t>バアイ</t>
    </rPh>
    <phoneticPr fontId="10"/>
  </si>
  <si>
    <t>自立</t>
    <rPh sb="0" eb="2">
      <t>ジリツ</t>
    </rPh>
    <phoneticPr fontId="10"/>
  </si>
  <si>
    <t>職員配置の回答基準</t>
    <rPh sb="0" eb="2">
      <t>ショクイン</t>
    </rPh>
    <rPh sb="2" eb="4">
      <t>ハイチ</t>
    </rPh>
    <rPh sb="5" eb="7">
      <t>カイトウ</t>
    </rPh>
    <rPh sb="7" eb="9">
      <t>キジュン</t>
    </rPh>
    <phoneticPr fontId="10"/>
  </si>
  <si>
    <t>職種</t>
    <rPh sb="0" eb="2">
      <t>ショクシュ</t>
    </rPh>
    <phoneticPr fontId="10"/>
  </si>
  <si>
    <t>2　給食委託（管理費）</t>
    <phoneticPr fontId="10"/>
  </si>
  <si>
    <t>男</t>
  </si>
  <si>
    <t>該当する</t>
  </si>
  <si>
    <t>1介護福祉士</t>
  </si>
  <si>
    <t>●</t>
    <phoneticPr fontId="10"/>
  </si>
  <si>
    <t>●</t>
    <phoneticPr fontId="10"/>
  </si>
  <si>
    <t>対象者の抽出例</t>
    <rPh sb="0" eb="3">
      <t>タイショウシャ</t>
    </rPh>
    <rPh sb="4" eb="6">
      <t>チュウシュツ</t>
    </rPh>
    <rPh sb="6" eb="7">
      <t>レイ</t>
    </rPh>
    <phoneticPr fontId="10"/>
  </si>
  <si>
    <t>※1</t>
    <phoneticPr fontId="10"/>
  </si>
  <si>
    <t>※2</t>
    <phoneticPr fontId="10"/>
  </si>
  <si>
    <t>1.法人名</t>
    <phoneticPr fontId="10"/>
  </si>
  <si>
    <t>2.施設名</t>
    <phoneticPr fontId="10"/>
  </si>
  <si>
    <t>3.運営形態</t>
    <phoneticPr fontId="10"/>
  </si>
  <si>
    <t>調査対象者合計
（上記①～⑤の合計）</t>
    <rPh sb="9" eb="11">
      <t>ジョウキ</t>
    </rPh>
    <phoneticPr fontId="10"/>
  </si>
  <si>
    <t>※1</t>
    <phoneticPr fontId="10"/>
  </si>
  <si>
    <t>※2</t>
    <phoneticPr fontId="10"/>
  </si>
  <si>
    <t>①　内、介護職員</t>
    <rPh sb="2" eb="3">
      <t>ウチ</t>
    </rPh>
    <phoneticPr fontId="10"/>
  </si>
  <si>
    <t>②　内、看護職員</t>
    <rPh sb="2" eb="3">
      <t>ウチ</t>
    </rPh>
    <phoneticPr fontId="10"/>
  </si>
  <si>
    <t>20歳代</t>
    <rPh sb="2" eb="3">
      <t>サイ</t>
    </rPh>
    <phoneticPr fontId="10"/>
  </si>
  <si>
    <t>30歳代</t>
    <rPh sb="2" eb="3">
      <t>サイ</t>
    </rPh>
    <phoneticPr fontId="10"/>
  </si>
  <si>
    <t>40歳代</t>
    <rPh sb="2" eb="3">
      <t>サイ</t>
    </rPh>
    <phoneticPr fontId="10"/>
  </si>
  <si>
    <t>50歳代</t>
    <rPh sb="2" eb="3">
      <t>サイ</t>
    </rPh>
    <phoneticPr fontId="10"/>
  </si>
  <si>
    <t>60歳以上</t>
    <rPh sb="2" eb="3">
      <t>サイ</t>
    </rPh>
    <phoneticPr fontId="10"/>
  </si>
  <si>
    <t>内、派遣職員からの雇入れ</t>
    <rPh sb="0" eb="1">
      <t>ウチ</t>
    </rPh>
    <rPh sb="2" eb="4">
      <t>ハケン</t>
    </rPh>
    <rPh sb="4" eb="6">
      <t>ショクイン</t>
    </rPh>
    <rPh sb="9" eb="11">
      <t>ヤトイイ</t>
    </rPh>
    <phoneticPr fontId="10"/>
  </si>
  <si>
    <t>採用形態</t>
    <rPh sb="0" eb="2">
      <t>サイヨウ</t>
    </rPh>
    <rPh sb="2" eb="4">
      <t>ケイタイ</t>
    </rPh>
    <phoneticPr fontId="10"/>
  </si>
  <si>
    <t>非正規職員とは、①雇用期間の定めがあり、雇用関係がある職員（派遣職員以外）、②雇用保険加入者（週20時間以上勤務、31日以上の雇用見込みがある）とします。月額・日給支給の場合は時給に換算してご記入ください。</t>
    <rPh sb="20" eb="22">
      <t>コヨウ</t>
    </rPh>
    <rPh sb="22" eb="24">
      <t>カンケイ</t>
    </rPh>
    <rPh sb="27" eb="29">
      <t>ショクイン</t>
    </rPh>
    <phoneticPr fontId="10"/>
  </si>
  <si>
    <t>○送付先・お問合せ先　　</t>
    <phoneticPr fontId="10"/>
  </si>
  <si>
    <t>㈱川原経営総合センター 　経営コンサルティング部門</t>
    <phoneticPr fontId="10"/>
  </si>
  <si>
    <t>年間延べ対象者数</t>
    <rPh sb="0" eb="2">
      <t>ネンカン</t>
    </rPh>
    <rPh sb="2" eb="3">
      <t>ノ</t>
    </rPh>
    <rPh sb="4" eb="7">
      <t>タイショウシャ</t>
    </rPh>
    <rPh sb="7" eb="8">
      <t>スウ</t>
    </rPh>
    <phoneticPr fontId="10"/>
  </si>
  <si>
    <t>正規</t>
    <rPh sb="0" eb="2">
      <t>セイキ</t>
    </rPh>
    <phoneticPr fontId="10"/>
  </si>
  <si>
    <t>非正規</t>
    <rPh sb="0" eb="1">
      <t>ヒ</t>
    </rPh>
    <rPh sb="1" eb="3">
      <t>セイキ</t>
    </rPh>
    <phoneticPr fontId="10"/>
  </si>
  <si>
    <t>正規職員</t>
    <rPh sb="0" eb="2">
      <t>セイキ</t>
    </rPh>
    <rPh sb="2" eb="4">
      <t>ショクイン</t>
    </rPh>
    <phoneticPr fontId="10"/>
  </si>
  <si>
    <t>非正規職員</t>
    <rPh sb="0" eb="1">
      <t>ヒ</t>
    </rPh>
    <rPh sb="1" eb="3">
      <t>セイキ</t>
    </rPh>
    <rPh sb="3" eb="5">
      <t>ショクイン</t>
    </rPh>
    <phoneticPr fontId="10"/>
  </si>
  <si>
    <t>①対象者の年間延べ人数を回答してください。</t>
    <rPh sb="1" eb="4">
      <t>タイショウシャ</t>
    </rPh>
    <rPh sb="5" eb="7">
      <t>ネンカン</t>
    </rPh>
    <rPh sb="7" eb="8">
      <t>ノ</t>
    </rPh>
    <phoneticPr fontId="10"/>
  </si>
  <si>
    <t>食費</t>
    <rPh sb="0" eb="2">
      <t>ショクヒ</t>
    </rPh>
    <phoneticPr fontId="10"/>
  </si>
  <si>
    <t>居住費</t>
    <rPh sb="0" eb="2">
      <t>キョジュウ</t>
    </rPh>
    <rPh sb="2" eb="3">
      <t>ヒ</t>
    </rPh>
    <phoneticPr fontId="10"/>
  </si>
  <si>
    <t>一律負担※</t>
    <rPh sb="0" eb="2">
      <t>イチリツ</t>
    </rPh>
    <rPh sb="2" eb="4">
      <t>フタン</t>
    </rPh>
    <phoneticPr fontId="10"/>
  </si>
  <si>
    <t>年間軽減総額</t>
    <rPh sb="0" eb="2">
      <t>ネンカン</t>
    </rPh>
    <rPh sb="2" eb="4">
      <t>ケイゲン</t>
    </rPh>
    <rPh sb="4" eb="6">
      <t>ソウガク</t>
    </rPh>
    <phoneticPr fontId="10"/>
  </si>
  <si>
    <t>E-mail※</t>
    <phoneticPr fontId="10"/>
  </si>
  <si>
    <r>
      <t>※特養における日常生活自立度の</t>
    </r>
    <r>
      <rPr>
        <b/>
        <u/>
        <sz val="11"/>
        <color indexed="8"/>
        <rFont val="ＭＳ Ｐ明朝"/>
        <family val="1"/>
        <charset val="128"/>
      </rPr>
      <t>「年間延べ人数」</t>
    </r>
    <r>
      <rPr>
        <sz val="11"/>
        <color indexed="8"/>
        <rFont val="ＭＳ Ｐ明朝"/>
        <family val="1"/>
        <charset val="128"/>
      </rPr>
      <t>をご記入ください。</t>
    </r>
    <rPh sb="1" eb="3">
      <t>トクヨウ</t>
    </rPh>
    <rPh sb="7" eb="9">
      <t>ニチジョウ</t>
    </rPh>
    <rPh sb="9" eb="11">
      <t>セイカツ</t>
    </rPh>
    <rPh sb="11" eb="14">
      <t>ジリツド</t>
    </rPh>
    <rPh sb="16" eb="18">
      <t>ネンカン</t>
    </rPh>
    <rPh sb="18" eb="19">
      <t>ノ</t>
    </rPh>
    <rPh sb="20" eb="22">
      <t>ニンズウ</t>
    </rPh>
    <rPh sb="25" eb="27">
      <t>キニュウ</t>
    </rPh>
    <phoneticPr fontId="10"/>
  </si>
  <si>
    <r>
      <t>対象となる事業は、</t>
    </r>
    <r>
      <rPr>
        <b/>
        <u/>
        <sz val="11"/>
        <color indexed="8"/>
        <rFont val="ＭＳ Ｐ明朝"/>
        <family val="1"/>
        <charset val="128"/>
      </rPr>
      <t>特養と併設（一体的運用）短期入所</t>
    </r>
    <r>
      <rPr>
        <sz val="11"/>
        <color theme="1"/>
        <rFont val="ＭＳ Ｐ明朝"/>
        <family val="1"/>
        <charset val="128"/>
      </rPr>
      <t>となります。</t>
    </r>
    <rPh sb="12" eb="14">
      <t>ヘイセツ</t>
    </rPh>
    <rPh sb="15" eb="18">
      <t>イッタイテキ</t>
    </rPh>
    <rPh sb="18" eb="20">
      <t>ウンヨウ</t>
    </rPh>
    <phoneticPr fontId="10"/>
  </si>
  <si>
    <r>
      <t>該当する委託業務の</t>
    </r>
    <r>
      <rPr>
        <u/>
        <sz val="11"/>
        <color indexed="8"/>
        <rFont val="ＭＳ Ｐ明朝"/>
        <family val="1"/>
        <charset val="128"/>
      </rPr>
      <t>特養・併設（一体的運用）短期入所に相当する金額（年間）</t>
    </r>
    <r>
      <rPr>
        <sz val="11"/>
        <color theme="1"/>
        <rFont val="ＭＳ Ｐ明朝"/>
        <family val="1"/>
        <charset val="128"/>
      </rPr>
      <t>をご記入ください。</t>
    </r>
    <rPh sb="12" eb="14">
      <t>ヘイセツ</t>
    </rPh>
    <rPh sb="15" eb="18">
      <t>イッタイテキ</t>
    </rPh>
    <rPh sb="18" eb="20">
      <t>ウンヨウ</t>
    </rPh>
    <phoneticPr fontId="10"/>
  </si>
  <si>
    <r>
      <t>貴施設の非正規職員の介護職員の</t>
    </r>
    <r>
      <rPr>
        <b/>
        <u/>
        <sz val="11"/>
        <color indexed="8"/>
        <rFont val="ＭＳ Ｐ明朝"/>
        <family val="1"/>
        <charset val="128"/>
      </rPr>
      <t>採用募集時における時給</t>
    </r>
    <r>
      <rPr>
        <sz val="11"/>
        <color theme="1"/>
        <rFont val="ＭＳ Ｐ明朝"/>
        <family val="1"/>
        <charset val="128"/>
      </rPr>
      <t>をご記入ください。</t>
    </r>
    <phoneticPr fontId="10"/>
  </si>
  <si>
    <r>
      <t xml:space="preserve">本給
</t>
    </r>
    <r>
      <rPr>
        <b/>
        <u/>
        <sz val="11"/>
        <color theme="1"/>
        <rFont val="ＭＳ Ｐ明朝"/>
        <family val="1"/>
        <charset val="128"/>
      </rPr>
      <t>（単月分）</t>
    </r>
    <rPh sb="0" eb="2">
      <t>ホンキュウ</t>
    </rPh>
    <phoneticPr fontId="10"/>
  </si>
  <si>
    <r>
      <t xml:space="preserve">諸手当
</t>
    </r>
    <r>
      <rPr>
        <b/>
        <u/>
        <sz val="11"/>
        <color theme="1"/>
        <rFont val="ＭＳ Ｐ明朝"/>
        <family val="1"/>
        <charset val="128"/>
      </rPr>
      <t>（単月分）</t>
    </r>
    <rPh sb="0" eb="1">
      <t>ショ</t>
    </rPh>
    <rPh sb="5" eb="7">
      <t>タンゲツ</t>
    </rPh>
    <rPh sb="7" eb="8">
      <t>ブン</t>
    </rPh>
    <phoneticPr fontId="10"/>
  </si>
  <si>
    <r>
      <t xml:space="preserve">一時金
</t>
    </r>
    <r>
      <rPr>
        <b/>
        <u/>
        <sz val="11"/>
        <color theme="1"/>
        <rFont val="ＭＳ Ｐ明朝"/>
        <family val="1"/>
        <charset val="128"/>
      </rPr>
      <t>（年間総額）</t>
    </r>
    <phoneticPr fontId="10"/>
  </si>
  <si>
    <t>1～2年未満</t>
    <rPh sb="3" eb="4">
      <t>ネン</t>
    </rPh>
    <rPh sb="4" eb="6">
      <t>ミマン</t>
    </rPh>
    <phoneticPr fontId="10"/>
  </si>
  <si>
    <t>2～3年未満</t>
    <rPh sb="3" eb="4">
      <t>ネン</t>
    </rPh>
    <rPh sb="4" eb="6">
      <t>ミマン</t>
    </rPh>
    <phoneticPr fontId="10"/>
  </si>
  <si>
    <t>3～4年未満</t>
    <rPh sb="3" eb="4">
      <t>ネン</t>
    </rPh>
    <rPh sb="4" eb="6">
      <t>ミマン</t>
    </rPh>
    <phoneticPr fontId="10"/>
  </si>
  <si>
    <t>4～5年未満</t>
    <rPh sb="3" eb="4">
      <t>ネン</t>
    </rPh>
    <rPh sb="4" eb="6">
      <t>ミマン</t>
    </rPh>
    <phoneticPr fontId="10"/>
  </si>
  <si>
    <t>5～10年未満</t>
    <rPh sb="4" eb="5">
      <t>ネン</t>
    </rPh>
    <rPh sb="5" eb="7">
      <t>ミマン</t>
    </rPh>
    <phoneticPr fontId="10"/>
  </si>
  <si>
    <t>●</t>
    <phoneticPr fontId="10"/>
  </si>
  <si>
    <t>1人当たり委託費
（入力確認用）</t>
    <rPh sb="1" eb="2">
      <t>ニン</t>
    </rPh>
    <rPh sb="2" eb="3">
      <t>ア</t>
    </rPh>
    <rPh sb="5" eb="7">
      <t>イタク</t>
    </rPh>
    <rPh sb="7" eb="8">
      <t>ヒ</t>
    </rPh>
    <rPh sb="10" eb="12">
      <t>ニュウリョク</t>
    </rPh>
    <rPh sb="12" eb="14">
      <t>カクニン</t>
    </rPh>
    <rPh sb="14" eb="15">
      <t>ヨウ</t>
    </rPh>
    <phoneticPr fontId="10"/>
  </si>
  <si>
    <t>●</t>
    <phoneticPr fontId="10"/>
  </si>
  <si>
    <t>※1</t>
    <phoneticPr fontId="10"/>
  </si>
  <si>
    <t>※2</t>
    <phoneticPr fontId="10"/>
  </si>
  <si>
    <t xml:space="preserve">学歴 </t>
    <phoneticPr fontId="10"/>
  </si>
  <si>
    <t>一律支給の場合 ※2</t>
    <phoneticPr fontId="10"/>
  </si>
  <si>
    <r>
      <t>上記学歴欄に見合う金額をご記入ください。年齢により支給されている場合は</t>
    </r>
    <r>
      <rPr>
        <u/>
        <sz val="11"/>
        <color indexed="8"/>
        <rFont val="ＭＳ Ｐ明朝"/>
        <family val="1"/>
        <charset val="128"/>
      </rPr>
      <t>、学歴に相当する欄に金額をご記入ください（例：23歳の場合→4年制大学卒）。</t>
    </r>
    <phoneticPr fontId="10"/>
  </si>
  <si>
    <t>その他日常生活費等（おやつ代を含む）</t>
    <rPh sb="2" eb="3">
      <t>タ</t>
    </rPh>
    <rPh sb="3" eb="5">
      <t>ニチジョウ</t>
    </rPh>
    <rPh sb="5" eb="7">
      <t>セイカツ</t>
    </rPh>
    <rPh sb="7" eb="8">
      <t>ヒ</t>
    </rPh>
    <rPh sb="8" eb="9">
      <t>ナド</t>
    </rPh>
    <rPh sb="13" eb="14">
      <t>ダイ</t>
    </rPh>
    <rPh sb="15" eb="16">
      <t>フク</t>
    </rPh>
    <phoneticPr fontId="10"/>
  </si>
  <si>
    <r>
      <rPr>
        <sz val="11"/>
        <color indexed="8"/>
        <rFont val="ＭＳ Ｐ明朝"/>
        <family val="1"/>
        <charset val="128"/>
      </rPr>
      <t>※特養における</t>
    </r>
    <r>
      <rPr>
        <u/>
        <sz val="11"/>
        <color indexed="8"/>
        <rFont val="ＭＳ Ｐ明朝"/>
        <family val="1"/>
        <charset val="128"/>
      </rPr>
      <t>措置対象者は含まない</t>
    </r>
    <r>
      <rPr>
        <b/>
        <u/>
        <sz val="11"/>
        <color indexed="8"/>
        <rFont val="ＭＳ Ｐ明朝"/>
        <family val="1"/>
        <charset val="128"/>
      </rPr>
      <t>「年間延べ人数」</t>
    </r>
    <r>
      <rPr>
        <sz val="11"/>
        <color indexed="8"/>
        <rFont val="ＭＳ Ｐ明朝"/>
        <family val="1"/>
        <charset val="128"/>
      </rPr>
      <t xml:space="preserve">をご記入ください。 </t>
    </r>
    <rPh sb="1" eb="3">
      <t>トクヨウ</t>
    </rPh>
    <rPh sb="13" eb="14">
      <t>フク</t>
    </rPh>
    <rPh sb="18" eb="20">
      <t>ネンカン</t>
    </rPh>
    <rPh sb="27" eb="29">
      <t>キニュウ</t>
    </rPh>
    <phoneticPr fontId="10"/>
  </si>
  <si>
    <r>
      <t>※上記設問の内、</t>
    </r>
    <r>
      <rPr>
        <b/>
        <u/>
        <sz val="11"/>
        <color theme="1"/>
        <rFont val="ＭＳ Ｐ明朝"/>
        <family val="1"/>
        <charset val="128"/>
      </rPr>
      <t>「派遣委託職員」に該当する職員がいる場合</t>
    </r>
    <r>
      <rPr>
        <sz val="11"/>
        <color theme="1"/>
        <rFont val="ＭＳ Ｐ明朝"/>
        <family val="1"/>
        <charset val="128"/>
      </rPr>
      <t>は、必ず回答してください。</t>
    </r>
    <rPh sb="1" eb="3">
      <t>ジョウキ</t>
    </rPh>
    <rPh sb="3" eb="5">
      <t>セツモン</t>
    </rPh>
    <rPh sb="6" eb="7">
      <t>ウチ</t>
    </rPh>
    <rPh sb="9" eb="11">
      <t>ハケン</t>
    </rPh>
    <rPh sb="11" eb="13">
      <t>イタク</t>
    </rPh>
    <rPh sb="13" eb="15">
      <t>ショクイン</t>
    </rPh>
    <rPh sb="17" eb="19">
      <t>ガイトウ</t>
    </rPh>
    <rPh sb="21" eb="23">
      <t>ショクイン</t>
    </rPh>
    <rPh sb="26" eb="28">
      <t>バアイ</t>
    </rPh>
    <rPh sb="30" eb="31">
      <t>カナラ</t>
    </rPh>
    <rPh sb="32" eb="34">
      <t>カイトウ</t>
    </rPh>
    <phoneticPr fontId="10"/>
  </si>
  <si>
    <t>●</t>
    <phoneticPr fontId="10"/>
  </si>
  <si>
    <t>4.開設年度</t>
    <phoneticPr fontId="10"/>
  </si>
  <si>
    <t>5.地域区分</t>
    <phoneticPr fontId="10"/>
  </si>
  <si>
    <t>6.居室形態</t>
    <phoneticPr fontId="10"/>
  </si>
  <si>
    <t>【選択肢：①公設民営（指定管理の運営者）、②民設民営】</t>
    <rPh sb="1" eb="4">
      <t>センタクシ</t>
    </rPh>
    <rPh sb="6" eb="8">
      <t>コウセツ</t>
    </rPh>
    <rPh sb="8" eb="10">
      <t>ミンエイ</t>
    </rPh>
    <rPh sb="11" eb="13">
      <t>シテイ</t>
    </rPh>
    <rPh sb="13" eb="15">
      <t>カンリ</t>
    </rPh>
    <rPh sb="16" eb="19">
      <t>ウンエイシャ</t>
    </rPh>
    <rPh sb="22" eb="23">
      <t>ミン</t>
    </rPh>
    <rPh sb="23" eb="24">
      <t>セツ</t>
    </rPh>
    <rPh sb="24" eb="26">
      <t>ミンエイ</t>
    </rPh>
    <phoneticPr fontId="10"/>
  </si>
  <si>
    <t>【選択肢：①ユニット型個室、②従来型】</t>
    <rPh sb="1" eb="4">
      <t>センタクシ</t>
    </rPh>
    <rPh sb="10" eb="11">
      <t>ガタ</t>
    </rPh>
    <rPh sb="11" eb="13">
      <t>コシツ</t>
    </rPh>
    <rPh sb="15" eb="18">
      <t>ジュウライガタ</t>
    </rPh>
    <phoneticPr fontId="10"/>
  </si>
  <si>
    <t>＝</t>
    <phoneticPr fontId="10"/>
  </si>
  <si>
    <t>②短期入所</t>
    <rPh sb="3" eb="5">
      <t>ニュウショ</t>
    </rPh>
    <phoneticPr fontId="10"/>
  </si>
  <si>
    <t>①特養</t>
    <phoneticPr fontId="10"/>
  </si>
  <si>
    <t>②短期入所</t>
    <phoneticPr fontId="10"/>
  </si>
  <si>
    <t>●</t>
    <phoneticPr fontId="10"/>
  </si>
  <si>
    <t>資格名※</t>
    <rPh sb="0" eb="2">
      <t>シカク</t>
    </rPh>
    <rPh sb="2" eb="3">
      <t>メイ</t>
    </rPh>
    <phoneticPr fontId="10"/>
  </si>
  <si>
    <t>1．介護福祉士　　2．社会福祉士　　3．精神保健福祉士　　4．介護支援専門員　　
5．介護職員初任者研修課程修了（旧ヘルパー1・2級相当）　　6．認知症介護指導者養成研修課程修了
7．その他</t>
    <rPh sb="2" eb="4">
      <t>カイゴ</t>
    </rPh>
    <rPh sb="4" eb="7">
      <t>フクシシ</t>
    </rPh>
    <rPh sb="11" eb="13">
      <t>シャカイ</t>
    </rPh>
    <rPh sb="13" eb="15">
      <t>フクシ</t>
    </rPh>
    <rPh sb="15" eb="16">
      <t>シ</t>
    </rPh>
    <rPh sb="20" eb="22">
      <t>セイシン</t>
    </rPh>
    <rPh sb="22" eb="24">
      <t>ホケン</t>
    </rPh>
    <rPh sb="24" eb="27">
      <t>フクシシ</t>
    </rPh>
    <rPh sb="31" eb="33">
      <t>カイゴ</t>
    </rPh>
    <rPh sb="33" eb="35">
      <t>シエン</t>
    </rPh>
    <rPh sb="35" eb="38">
      <t>センモンイン</t>
    </rPh>
    <rPh sb="43" eb="45">
      <t>カイゴ</t>
    </rPh>
    <rPh sb="45" eb="47">
      <t>ショクイン</t>
    </rPh>
    <rPh sb="47" eb="50">
      <t>ショニンシャ</t>
    </rPh>
    <rPh sb="50" eb="52">
      <t>ケンシュウ</t>
    </rPh>
    <rPh sb="52" eb="54">
      <t>カテイ</t>
    </rPh>
    <rPh sb="54" eb="56">
      <t>シュウリョウ</t>
    </rPh>
    <rPh sb="57" eb="58">
      <t>キュウ</t>
    </rPh>
    <rPh sb="65" eb="66">
      <t>キュウ</t>
    </rPh>
    <rPh sb="66" eb="68">
      <t>ソウトウ</t>
    </rPh>
    <rPh sb="73" eb="76">
      <t>ニンチショウ</t>
    </rPh>
    <rPh sb="76" eb="78">
      <t>カイゴ</t>
    </rPh>
    <rPh sb="78" eb="81">
      <t>シドウシャ</t>
    </rPh>
    <rPh sb="81" eb="83">
      <t>ヨウセイ</t>
    </rPh>
    <rPh sb="83" eb="85">
      <t>ケンシュウ</t>
    </rPh>
    <rPh sb="85" eb="87">
      <t>カテイ</t>
    </rPh>
    <rPh sb="87" eb="89">
      <t>シュウリョウ</t>
    </rPh>
    <rPh sb="94" eb="95">
      <t>タ</t>
    </rPh>
    <phoneticPr fontId="10"/>
  </si>
  <si>
    <t>一時金（年間総額）</t>
    <rPh sb="0" eb="3">
      <t>イチジキン</t>
    </rPh>
    <rPh sb="4" eb="6">
      <t>ネンカン</t>
    </rPh>
    <rPh sb="6" eb="8">
      <t>ソウガク</t>
    </rPh>
    <phoneticPr fontId="10"/>
  </si>
  <si>
    <t>④選択していただく必要のあるセルには、ピンク系統の着色がされています。
　 選択式ですので、該当する項目をお選びください。</t>
    <rPh sb="1" eb="3">
      <t>センタク</t>
    </rPh>
    <rPh sb="9" eb="11">
      <t>ヒツヨウ</t>
    </rPh>
    <rPh sb="22" eb="24">
      <t>ケイトウ</t>
    </rPh>
    <rPh sb="25" eb="27">
      <t>チャクショク</t>
    </rPh>
    <rPh sb="38" eb="40">
      <t>センタク</t>
    </rPh>
    <phoneticPr fontId="10"/>
  </si>
  <si>
    <t>②入力していただく必要のあるセルには、緑系統の着色がされています。
   それ以外のセルには入力できません。</t>
    <rPh sb="1" eb="3">
      <t>ニュウリョク</t>
    </rPh>
    <rPh sb="9" eb="11">
      <t>ヒツヨウ</t>
    </rPh>
    <rPh sb="19" eb="20">
      <t>ミドリ</t>
    </rPh>
    <rPh sb="20" eb="22">
      <t>ケイトウ</t>
    </rPh>
    <rPh sb="23" eb="25">
      <t>チャクショク</t>
    </rPh>
    <phoneticPr fontId="10"/>
  </si>
  <si>
    <t>※</t>
    <phoneticPr fontId="10"/>
  </si>
  <si>
    <t>※</t>
    <phoneticPr fontId="10"/>
  </si>
  <si>
    <t>調査票に不備等があった場合、確認のために連絡をする場合がございます。
ご回答いただくご担当者様と連絡が取れるアドレスをご記載ください。</t>
    <rPh sb="0" eb="3">
      <t>チョウサヒョウ</t>
    </rPh>
    <rPh sb="4" eb="6">
      <t>フビ</t>
    </rPh>
    <rPh sb="6" eb="7">
      <t>ナド</t>
    </rPh>
    <rPh sb="11" eb="13">
      <t>バアイ</t>
    </rPh>
    <rPh sb="14" eb="16">
      <t>カクニン</t>
    </rPh>
    <rPh sb="20" eb="22">
      <t>レンラク</t>
    </rPh>
    <rPh sb="25" eb="27">
      <t>バアイ</t>
    </rPh>
    <rPh sb="36" eb="38">
      <t>カイトウ</t>
    </rPh>
    <rPh sb="43" eb="46">
      <t>タントウシャ</t>
    </rPh>
    <rPh sb="46" eb="47">
      <t>サマ</t>
    </rPh>
    <rPh sb="48" eb="50">
      <t>レンラク</t>
    </rPh>
    <rPh sb="51" eb="52">
      <t>ト</t>
    </rPh>
    <rPh sb="60" eb="62">
      <t>キサイ</t>
    </rPh>
    <phoneticPr fontId="10"/>
  </si>
  <si>
    <t>※1</t>
    <phoneticPr fontId="10"/>
  </si>
  <si>
    <t>①特養※1</t>
    <phoneticPr fontId="10"/>
  </si>
  <si>
    <t>合計（①＋②）</t>
    <rPh sb="0" eb="2">
      <t>ゴウケイ</t>
    </rPh>
    <phoneticPr fontId="10"/>
  </si>
  <si>
    <t>③短期入所の内、
空床利用※2</t>
    <rPh sb="6" eb="7">
      <t>ウチ</t>
    </rPh>
    <rPh sb="9" eb="11">
      <t>クウショウ</t>
    </rPh>
    <rPh sb="11" eb="13">
      <t>リヨウ</t>
    </rPh>
    <phoneticPr fontId="10"/>
  </si>
  <si>
    <t>諸手当には地域手当（旧調整手当）、特殊勤務手当等、介護職員に一律に支給される金額の合計をご記入ください。職務手当、扶養手当、住宅手当、通勤手当、超過勤務手当、資格手当等、職位や諸条件により支給の有無や金額が異なるものは除きます。</t>
    <rPh sb="67" eb="69">
      <t>ツウキン</t>
    </rPh>
    <rPh sb="69" eb="71">
      <t>テアテ</t>
    </rPh>
    <phoneticPr fontId="10"/>
  </si>
  <si>
    <t>「③短期入所の内、空床利用」は、「②短期入所」の年間延べ人数に占める内数を回答してください。</t>
    <rPh sb="2" eb="4">
      <t>タンキ</t>
    </rPh>
    <rPh sb="4" eb="6">
      <t>ニュウショ</t>
    </rPh>
    <rPh sb="7" eb="8">
      <t>ウチ</t>
    </rPh>
    <rPh sb="9" eb="11">
      <t>クウショウ</t>
    </rPh>
    <rPh sb="11" eb="13">
      <t>リヨウ</t>
    </rPh>
    <rPh sb="18" eb="20">
      <t>タンキ</t>
    </rPh>
    <rPh sb="20" eb="22">
      <t>ニュウショ</t>
    </rPh>
    <rPh sb="24" eb="26">
      <t>ネンカン</t>
    </rPh>
    <rPh sb="26" eb="27">
      <t>ノ</t>
    </rPh>
    <rPh sb="28" eb="30">
      <t>ニンズウ</t>
    </rPh>
    <rPh sb="31" eb="32">
      <t>シ</t>
    </rPh>
    <rPh sb="34" eb="35">
      <t>ウチ</t>
    </rPh>
    <rPh sb="35" eb="36">
      <t>スウ</t>
    </rPh>
    <rPh sb="37" eb="39">
      <t>カイトウ</t>
    </rPh>
    <phoneticPr fontId="10"/>
  </si>
  <si>
    <t>①夜勤手当</t>
    <rPh sb="1" eb="3">
      <t>ヤキン</t>
    </rPh>
    <rPh sb="3" eb="5">
      <t>テアテ</t>
    </rPh>
    <phoneticPr fontId="10"/>
  </si>
  <si>
    <t>②時間外手当</t>
    <rPh sb="1" eb="4">
      <t>ジカンガイ</t>
    </rPh>
    <rPh sb="4" eb="6">
      <t>テアテ</t>
    </rPh>
    <phoneticPr fontId="10"/>
  </si>
  <si>
    <t>③資格手当</t>
    <rPh sb="1" eb="3">
      <t>シカク</t>
    </rPh>
    <rPh sb="3" eb="5">
      <t>テアテ</t>
    </rPh>
    <phoneticPr fontId="10"/>
  </si>
  <si>
    <t>④処遇改善加算相当額</t>
    <rPh sb="1" eb="3">
      <t>ショグウ</t>
    </rPh>
    <rPh sb="3" eb="5">
      <t>カイゼン</t>
    </rPh>
    <rPh sb="5" eb="7">
      <t>カサン</t>
    </rPh>
    <rPh sb="7" eb="9">
      <t>ソウトウ</t>
    </rPh>
    <rPh sb="9" eb="10">
      <t>ガク</t>
    </rPh>
    <phoneticPr fontId="10"/>
  </si>
  <si>
    <t>⑤その他手当</t>
    <rPh sb="3" eb="4">
      <t>タ</t>
    </rPh>
    <rPh sb="4" eb="6">
      <t>テアテ</t>
    </rPh>
    <phoneticPr fontId="10"/>
  </si>
  <si>
    <t>諸手当（単月分）
　①～⑤の合計</t>
    <rPh sb="0" eb="1">
      <t>ショ</t>
    </rPh>
    <rPh sb="1" eb="3">
      <t>テアテ</t>
    </rPh>
    <rPh sb="4" eb="5">
      <t>タン</t>
    </rPh>
    <rPh sb="5" eb="6">
      <t>ツキ</t>
    </rPh>
    <rPh sb="6" eb="7">
      <t>ブン</t>
    </rPh>
    <rPh sb="14" eb="16">
      <t>ゴウケイ</t>
    </rPh>
    <phoneticPr fontId="10"/>
  </si>
  <si>
    <t>施設コード</t>
    <rPh sb="0" eb="2">
      <t>シセツ</t>
    </rPh>
    <phoneticPr fontId="27"/>
  </si>
  <si>
    <t>　　　　　うち、介護福祉士資格者（実数）</t>
    <rPh sb="12" eb="13">
      <t>シ</t>
    </rPh>
    <rPh sb="17" eb="19">
      <t>ジッスウ</t>
    </rPh>
    <phoneticPr fontId="10"/>
  </si>
  <si>
    <t>　　　　　うち、介護福祉士資格者（常勤換算）</t>
    <rPh sb="12" eb="13">
      <t>シ</t>
    </rPh>
    <rPh sb="17" eb="19">
      <t>ジョウキン</t>
    </rPh>
    <rPh sb="19" eb="21">
      <t>カンサン</t>
    </rPh>
    <phoneticPr fontId="10"/>
  </si>
  <si>
    <t>　　　　　　　　 高卒_あり_手当</t>
    <rPh sb="9" eb="11">
      <t>コウソツ</t>
    </rPh>
    <rPh sb="15" eb="17">
      <t>テアテ</t>
    </rPh>
    <phoneticPr fontId="10"/>
  </si>
  <si>
    <t>　　　　　　　　 高卒_なし_基本給</t>
    <rPh sb="9" eb="11">
      <t>コウソツ</t>
    </rPh>
    <rPh sb="15" eb="18">
      <t>キホンキュウ</t>
    </rPh>
    <phoneticPr fontId="10"/>
  </si>
  <si>
    <t>　　　　　　　　 高卒_なし_手当</t>
    <rPh sb="9" eb="11">
      <t>コウソツ</t>
    </rPh>
    <rPh sb="15" eb="17">
      <t>テアテ</t>
    </rPh>
    <phoneticPr fontId="10"/>
  </si>
  <si>
    <t>　　　　　　　　 短大・専門学校卒_あり_基本給</t>
    <rPh sb="9" eb="11">
      <t>タンダイ</t>
    </rPh>
    <rPh sb="12" eb="14">
      <t>センモン</t>
    </rPh>
    <rPh sb="14" eb="16">
      <t>ガッコウ</t>
    </rPh>
    <rPh sb="16" eb="17">
      <t>ソツ</t>
    </rPh>
    <rPh sb="21" eb="24">
      <t>キホンキュウ</t>
    </rPh>
    <phoneticPr fontId="10"/>
  </si>
  <si>
    <t>　　　　　　　　 短大・専門学校卒_あり_手当</t>
    <rPh sb="9" eb="11">
      <t>タンダイ</t>
    </rPh>
    <rPh sb="12" eb="14">
      <t>センモン</t>
    </rPh>
    <rPh sb="14" eb="16">
      <t>ガッコウ</t>
    </rPh>
    <rPh sb="16" eb="17">
      <t>ソツ</t>
    </rPh>
    <rPh sb="21" eb="23">
      <t>テアテ</t>
    </rPh>
    <phoneticPr fontId="10"/>
  </si>
  <si>
    <t>　　　　　　　　 短大・専門学校卒_なし_基本給</t>
    <rPh sb="9" eb="11">
      <t>タンダイ</t>
    </rPh>
    <rPh sb="12" eb="17">
      <t>センモンガッコウソツ</t>
    </rPh>
    <rPh sb="21" eb="24">
      <t>キホンキュウ</t>
    </rPh>
    <phoneticPr fontId="10"/>
  </si>
  <si>
    <t>　　　　　　　　 短大・専門学校卒_なし_手当</t>
    <rPh sb="9" eb="11">
      <t>タンダイ</t>
    </rPh>
    <rPh sb="12" eb="14">
      <t>センモン</t>
    </rPh>
    <rPh sb="14" eb="16">
      <t>ガッコウ</t>
    </rPh>
    <rPh sb="16" eb="17">
      <t>ソツ</t>
    </rPh>
    <rPh sb="21" eb="23">
      <t>テアテ</t>
    </rPh>
    <phoneticPr fontId="10"/>
  </si>
  <si>
    <t>　　　　　　　　 4年制大学卒_あり_基本給</t>
    <rPh sb="10" eb="12">
      <t>ネンセイ</t>
    </rPh>
    <rPh sb="12" eb="14">
      <t>ダイガク</t>
    </rPh>
    <rPh sb="14" eb="15">
      <t>ソツ</t>
    </rPh>
    <rPh sb="19" eb="22">
      <t>キホンキュウ</t>
    </rPh>
    <phoneticPr fontId="10"/>
  </si>
  <si>
    <t>　　　　　　　　 4年制大学卒_あり_手当</t>
    <rPh sb="10" eb="12">
      <t>ネンセイ</t>
    </rPh>
    <rPh sb="12" eb="14">
      <t>ダイガク</t>
    </rPh>
    <rPh sb="14" eb="15">
      <t>ソツ</t>
    </rPh>
    <rPh sb="19" eb="21">
      <t>テアテ</t>
    </rPh>
    <phoneticPr fontId="10"/>
  </si>
  <si>
    <t>　　　　　　　　 4年制大学卒_なし_基本給</t>
    <rPh sb="10" eb="15">
      <t>ネンセイダイガクソツ</t>
    </rPh>
    <rPh sb="19" eb="22">
      <t>キホンキュウ</t>
    </rPh>
    <phoneticPr fontId="10"/>
  </si>
  <si>
    <t>　　　　　　　　 4年制大学卒_なし_手当</t>
    <rPh sb="10" eb="12">
      <t>ネンセイ</t>
    </rPh>
    <rPh sb="12" eb="14">
      <t>ダイガク</t>
    </rPh>
    <rPh sb="14" eb="15">
      <t>ソツ</t>
    </rPh>
    <rPh sb="19" eb="21">
      <t>テアテ</t>
    </rPh>
    <phoneticPr fontId="10"/>
  </si>
  <si>
    <t>　　　　　　　　 一律支給_あり_基本給</t>
    <rPh sb="9" eb="11">
      <t>イチリツ</t>
    </rPh>
    <rPh sb="11" eb="13">
      <t>シキュウ</t>
    </rPh>
    <rPh sb="17" eb="20">
      <t>キホンキュウ</t>
    </rPh>
    <phoneticPr fontId="10"/>
  </si>
  <si>
    <t>　　　　　　　　 一律支給_あり_手当</t>
    <rPh sb="9" eb="11">
      <t>イチリツ</t>
    </rPh>
    <rPh sb="11" eb="13">
      <t>シキュウ</t>
    </rPh>
    <rPh sb="17" eb="19">
      <t>テアテ</t>
    </rPh>
    <phoneticPr fontId="10"/>
  </si>
  <si>
    <t>　　　　　　　　 一律支給_なし_基本給</t>
    <rPh sb="9" eb="11">
      <t>イチリツ</t>
    </rPh>
    <rPh sb="11" eb="13">
      <t>シキュウ</t>
    </rPh>
    <rPh sb="17" eb="20">
      <t>キホンキュウ</t>
    </rPh>
    <phoneticPr fontId="10"/>
  </si>
  <si>
    <t>　　　　　　　　 一律支給_なし_手当</t>
    <rPh sb="9" eb="11">
      <t>イチリツ</t>
    </rPh>
    <rPh sb="11" eb="13">
      <t>シキュウ</t>
    </rPh>
    <rPh sb="17" eb="19">
      <t>テアテ</t>
    </rPh>
    <phoneticPr fontId="10"/>
  </si>
  <si>
    <t>　　　　　　　　　　　　　　 あり_介護職員初任者研修課程修了</t>
    <rPh sb="18" eb="31">
      <t>カイゴショクインショニンシャケンシュウカテイシュウリョウ</t>
    </rPh>
    <phoneticPr fontId="10"/>
  </si>
  <si>
    <t xml:space="preserve">                             なし</t>
    <phoneticPr fontId="10"/>
  </si>
  <si>
    <t>　　　　うち介護職</t>
    <rPh sb="6" eb="8">
      <t>カイゴ</t>
    </rPh>
    <rPh sb="8" eb="9">
      <t>ショク</t>
    </rPh>
    <phoneticPr fontId="10"/>
  </si>
  <si>
    <t>　　　　うち看護職員</t>
    <rPh sb="6" eb="8">
      <t>カンゴ</t>
    </rPh>
    <rPh sb="8" eb="10">
      <t>ショクイン</t>
    </rPh>
    <phoneticPr fontId="10"/>
  </si>
  <si>
    <t>　　　　うちその他事務等</t>
    <rPh sb="8" eb="9">
      <t>タ</t>
    </rPh>
    <rPh sb="9" eb="11">
      <t>ジム</t>
    </rPh>
    <rPh sb="11" eb="12">
      <t>ナド</t>
    </rPh>
    <phoneticPr fontId="10"/>
  </si>
  <si>
    <t xml:space="preserve">３・運営形態                                              </t>
    <phoneticPr fontId="10"/>
  </si>
  <si>
    <t xml:space="preserve">６・居室形態                                              </t>
    <phoneticPr fontId="10"/>
  </si>
  <si>
    <t>１．法人名</t>
    <rPh sb="2" eb="4">
      <t>ホウジン</t>
    </rPh>
    <rPh sb="4" eb="5">
      <t>メイ</t>
    </rPh>
    <phoneticPr fontId="27"/>
  </si>
  <si>
    <t>２．施設名</t>
    <rPh sb="2" eb="4">
      <t>シセツ</t>
    </rPh>
    <rPh sb="4" eb="5">
      <t>メイ</t>
    </rPh>
    <phoneticPr fontId="27"/>
  </si>
  <si>
    <t>自立</t>
    <rPh sb="0" eb="2">
      <t>ジリツ</t>
    </rPh>
    <phoneticPr fontId="27"/>
  </si>
  <si>
    <t>Ⅲa</t>
    <phoneticPr fontId="27"/>
  </si>
  <si>
    <t>Ⅲb</t>
    <phoneticPr fontId="27"/>
  </si>
  <si>
    <t>Ⅳ</t>
    <phoneticPr fontId="27"/>
  </si>
  <si>
    <t>M</t>
    <phoneticPr fontId="27"/>
  </si>
  <si>
    <t>喀痰吸引の年間延べ利用者数</t>
    <rPh sb="0" eb="2">
      <t>カクタン</t>
    </rPh>
    <rPh sb="2" eb="4">
      <t>キュウイン</t>
    </rPh>
    <rPh sb="5" eb="7">
      <t>ネンカン</t>
    </rPh>
    <rPh sb="7" eb="8">
      <t>ノ</t>
    </rPh>
    <rPh sb="9" eb="11">
      <t>リヨウ</t>
    </rPh>
    <rPh sb="11" eb="12">
      <t>シャ</t>
    </rPh>
    <rPh sb="12" eb="13">
      <t>スウ</t>
    </rPh>
    <phoneticPr fontId="27"/>
  </si>
  <si>
    <t xml:space="preserve">      ①正規_介護職員（実数）</t>
  </si>
  <si>
    <t>　　　②正規_看護職員（実数）</t>
    <rPh sb="4" eb="6">
      <t>セイキ</t>
    </rPh>
    <rPh sb="7" eb="9">
      <t>カンゴ</t>
    </rPh>
    <rPh sb="9" eb="11">
      <t>ショクイン</t>
    </rPh>
    <rPh sb="12" eb="14">
      <t>ジッスウ</t>
    </rPh>
    <phoneticPr fontId="10"/>
  </si>
  <si>
    <t>　　　③正規_PT・OT・ST（実数）</t>
    <rPh sb="4" eb="6">
      <t>セイキ</t>
    </rPh>
    <rPh sb="16" eb="18">
      <t>ジッスウ</t>
    </rPh>
    <phoneticPr fontId="10"/>
  </si>
  <si>
    <t>　　　④正規_調理職員（実数）</t>
    <rPh sb="4" eb="6">
      <t>セイキ</t>
    </rPh>
    <rPh sb="7" eb="9">
      <t>チョウリ</t>
    </rPh>
    <rPh sb="9" eb="11">
      <t>ショクイン</t>
    </rPh>
    <rPh sb="12" eb="14">
      <t>ジッスウ</t>
    </rPh>
    <phoneticPr fontId="10"/>
  </si>
  <si>
    <t>　　　⑤正規_その他（実数）</t>
    <rPh sb="4" eb="6">
      <t>セイキ</t>
    </rPh>
    <rPh sb="9" eb="10">
      <t>タ</t>
    </rPh>
    <rPh sb="11" eb="13">
      <t>ジッスウ</t>
    </rPh>
    <phoneticPr fontId="10"/>
  </si>
  <si>
    <t xml:space="preserve">      ①非正規_介護職員（実数）</t>
  </si>
  <si>
    <t>　　　②非正規_看護職員（実数）</t>
    <rPh sb="8" eb="10">
      <t>カンゴ</t>
    </rPh>
    <rPh sb="10" eb="12">
      <t>ショクイン</t>
    </rPh>
    <rPh sb="13" eb="15">
      <t>ジッスウ</t>
    </rPh>
    <phoneticPr fontId="10"/>
  </si>
  <si>
    <t>　　　③非正規_PT・OT・ST（実数）</t>
    <rPh sb="17" eb="19">
      <t>ジッスウ</t>
    </rPh>
    <phoneticPr fontId="10"/>
  </si>
  <si>
    <t>　　　④非正規_調理職員（実数）</t>
    <rPh sb="8" eb="10">
      <t>チョウリ</t>
    </rPh>
    <rPh sb="10" eb="12">
      <t>ショクイン</t>
    </rPh>
    <rPh sb="13" eb="15">
      <t>ジッスウ</t>
    </rPh>
    <phoneticPr fontId="10"/>
  </si>
  <si>
    <t>　　　⑤非正規_その他（実数）</t>
    <rPh sb="10" eb="11">
      <t>タ</t>
    </rPh>
    <rPh sb="12" eb="14">
      <t>ジッスウ</t>
    </rPh>
    <phoneticPr fontId="10"/>
  </si>
  <si>
    <t>　　　①非正規_介護職員（常勤換算）</t>
    <rPh sb="4" eb="5">
      <t>ヒ</t>
    </rPh>
    <rPh sb="5" eb="7">
      <t>セイキ</t>
    </rPh>
    <rPh sb="13" eb="15">
      <t>ジョウキン</t>
    </rPh>
    <rPh sb="15" eb="17">
      <t>カンサン</t>
    </rPh>
    <phoneticPr fontId="10"/>
  </si>
  <si>
    <t>　　　②非正規_看護職員（常勤換算）</t>
    <rPh sb="4" eb="5">
      <t>ヒ</t>
    </rPh>
    <rPh sb="5" eb="7">
      <t>セイキ</t>
    </rPh>
    <rPh sb="8" eb="10">
      <t>カンゴ</t>
    </rPh>
    <rPh sb="10" eb="12">
      <t>ショクイン</t>
    </rPh>
    <rPh sb="13" eb="17">
      <t>ジョウキンカンサン</t>
    </rPh>
    <phoneticPr fontId="10"/>
  </si>
  <si>
    <t>　　　③非正規_PT・OT・ST（常勤換算）</t>
    <rPh sb="17" eb="19">
      <t>ジョウキン</t>
    </rPh>
    <rPh sb="19" eb="21">
      <t>カンサン</t>
    </rPh>
    <phoneticPr fontId="10"/>
  </si>
  <si>
    <t>　　　④非正規_調理職員（常勤換算）</t>
    <rPh sb="4" eb="5">
      <t>ヒ</t>
    </rPh>
    <rPh sb="5" eb="7">
      <t>セイキ</t>
    </rPh>
    <rPh sb="8" eb="10">
      <t>チョウリ</t>
    </rPh>
    <rPh sb="10" eb="12">
      <t>ショクイン</t>
    </rPh>
    <rPh sb="13" eb="17">
      <t>ジョウキンカンサン</t>
    </rPh>
    <phoneticPr fontId="10"/>
  </si>
  <si>
    <t>　　　⑤非正規_その他（常勤換算）</t>
    <rPh sb="4" eb="5">
      <t>ヒ</t>
    </rPh>
    <rPh sb="5" eb="7">
      <t>セイキ</t>
    </rPh>
    <rPh sb="10" eb="11">
      <t>タ</t>
    </rPh>
    <rPh sb="12" eb="14">
      <t>ジョウキン</t>
    </rPh>
    <rPh sb="14" eb="16">
      <t>カンサン</t>
    </rPh>
    <phoneticPr fontId="10"/>
  </si>
  <si>
    <t xml:space="preserve">      ①派遣_介護職員（実数）</t>
  </si>
  <si>
    <t>　　　②派遣_看護職員（実数）</t>
    <rPh sb="7" eb="9">
      <t>カンゴ</t>
    </rPh>
    <rPh sb="9" eb="11">
      <t>ショクイン</t>
    </rPh>
    <rPh sb="12" eb="14">
      <t>ジッスウ</t>
    </rPh>
    <phoneticPr fontId="10"/>
  </si>
  <si>
    <t>　　　③派遣_PT・OT・ST（実数）</t>
    <rPh sb="16" eb="18">
      <t>ジッスウ</t>
    </rPh>
    <phoneticPr fontId="10"/>
  </si>
  <si>
    <t>　　　④派遣_調理職員（実数）</t>
    <rPh sb="7" eb="9">
      <t>チョウリ</t>
    </rPh>
    <rPh sb="9" eb="11">
      <t>ショクイン</t>
    </rPh>
    <rPh sb="12" eb="14">
      <t>ジッスウ</t>
    </rPh>
    <phoneticPr fontId="10"/>
  </si>
  <si>
    <t>　　　⑤派遣_その他（実数）</t>
    <rPh sb="9" eb="10">
      <t>タ</t>
    </rPh>
    <rPh sb="11" eb="13">
      <t>ジッスウ</t>
    </rPh>
    <phoneticPr fontId="10"/>
  </si>
  <si>
    <t>　　　①派遣_介護職員（常勤換算）</t>
    <rPh sb="4" eb="6">
      <t>ハケン</t>
    </rPh>
    <rPh sb="12" eb="14">
      <t>ジョウキン</t>
    </rPh>
    <rPh sb="14" eb="16">
      <t>カンサン</t>
    </rPh>
    <phoneticPr fontId="10"/>
  </si>
  <si>
    <t>　　　②派遣_看護職員（常勤換算）</t>
    <rPh sb="4" eb="6">
      <t>ハケン</t>
    </rPh>
    <rPh sb="7" eb="9">
      <t>カンゴ</t>
    </rPh>
    <rPh sb="9" eb="11">
      <t>ショクイン</t>
    </rPh>
    <rPh sb="12" eb="14">
      <t>ジョウキン</t>
    </rPh>
    <rPh sb="14" eb="16">
      <t>カンサン</t>
    </rPh>
    <phoneticPr fontId="10"/>
  </si>
  <si>
    <t>非正規_実人数_合計（＊）</t>
    <rPh sb="4" eb="5">
      <t>ジツ</t>
    </rPh>
    <rPh sb="5" eb="7">
      <t>ニンズウ</t>
    </rPh>
    <rPh sb="8" eb="10">
      <t>ゴウケイ</t>
    </rPh>
    <phoneticPr fontId="10"/>
  </si>
  <si>
    <t>正規_実人数_合計（＊）</t>
    <rPh sb="0" eb="2">
      <t>セイキ</t>
    </rPh>
    <rPh sb="3" eb="4">
      <t>ジツ</t>
    </rPh>
    <rPh sb="4" eb="6">
      <t>ニンズウ</t>
    </rPh>
    <rPh sb="7" eb="9">
      <t>ゴウケイ</t>
    </rPh>
    <phoneticPr fontId="10"/>
  </si>
  <si>
    <t>非正規_常勤換算_合計（＊）</t>
    <rPh sb="0" eb="1">
      <t>ヒ</t>
    </rPh>
    <rPh sb="1" eb="3">
      <t>セイキ</t>
    </rPh>
    <rPh sb="4" eb="6">
      <t>ジョウキン</t>
    </rPh>
    <rPh sb="6" eb="8">
      <t>カンサン</t>
    </rPh>
    <rPh sb="9" eb="11">
      <t>ゴウケイ</t>
    </rPh>
    <phoneticPr fontId="10"/>
  </si>
  <si>
    <t>派遣_実人数_合計（＊）</t>
    <rPh sb="3" eb="4">
      <t>ジツ</t>
    </rPh>
    <rPh sb="4" eb="6">
      <t>ニンズウ</t>
    </rPh>
    <rPh sb="7" eb="9">
      <t>ゴウケイ</t>
    </rPh>
    <phoneticPr fontId="10"/>
  </si>
  <si>
    <t>派遣_常勤換算_合計（＊）</t>
    <rPh sb="0" eb="2">
      <t>ハケン</t>
    </rPh>
    <rPh sb="3" eb="7">
      <t>ジョウキンカンサン</t>
    </rPh>
    <rPh sb="8" eb="10">
      <t>ゴウケイ</t>
    </rPh>
    <phoneticPr fontId="10"/>
  </si>
  <si>
    <t>　　　　　　　　　　 中途_正規_男性</t>
    <rPh sb="11" eb="13">
      <t>チュウト</t>
    </rPh>
    <rPh sb="14" eb="16">
      <t>セイキ</t>
    </rPh>
    <rPh sb="17" eb="19">
      <t>ダンセイ</t>
    </rPh>
    <phoneticPr fontId="27"/>
  </si>
  <si>
    <t>内、派遣雇入れ</t>
    <rPh sb="0" eb="1">
      <t>ウチ</t>
    </rPh>
    <rPh sb="2" eb="4">
      <t>ハケン</t>
    </rPh>
    <rPh sb="4" eb="6">
      <t>ヤトイイ</t>
    </rPh>
    <phoneticPr fontId="27"/>
  </si>
  <si>
    <t>　　　　　　　　　　 新卒_正規_女性</t>
    <rPh sb="11" eb="13">
      <t>シンソツ</t>
    </rPh>
    <rPh sb="14" eb="16">
      <t>セイキ</t>
    </rPh>
    <rPh sb="17" eb="19">
      <t>ジョセイ</t>
    </rPh>
    <phoneticPr fontId="27"/>
  </si>
  <si>
    <t>　　　　　　　　　　 中途_正規_女性</t>
    <rPh sb="11" eb="13">
      <t>チュウト</t>
    </rPh>
    <rPh sb="14" eb="16">
      <t>セイキ</t>
    </rPh>
    <rPh sb="17" eb="19">
      <t>ジョセイ</t>
    </rPh>
    <phoneticPr fontId="27"/>
  </si>
  <si>
    <t>　　　　　　　　　　 新卒_非正規_男性</t>
    <rPh sb="11" eb="13">
      <t>シンソツ</t>
    </rPh>
    <rPh sb="18" eb="20">
      <t>ダンセイ</t>
    </rPh>
    <phoneticPr fontId="27"/>
  </si>
  <si>
    <t>　　　　　　　　　　 中途_非正規_男性</t>
    <rPh sb="11" eb="13">
      <t>チュウト</t>
    </rPh>
    <rPh sb="18" eb="20">
      <t>ダンセイ</t>
    </rPh>
    <phoneticPr fontId="27"/>
  </si>
  <si>
    <t>　　　　　　　　　　 新卒_非正規_女性</t>
    <rPh sb="11" eb="13">
      <t>シンソツ</t>
    </rPh>
    <rPh sb="18" eb="20">
      <t>ジョセイ</t>
    </rPh>
    <phoneticPr fontId="27"/>
  </si>
  <si>
    <t>　　　　　　　　　　 中途_非正規_女性</t>
    <rPh sb="11" eb="13">
      <t>チュウト</t>
    </rPh>
    <rPh sb="18" eb="20">
      <t>ジョセイ</t>
    </rPh>
    <phoneticPr fontId="27"/>
  </si>
  <si>
    <t>①H27_本給</t>
    <rPh sb="5" eb="7">
      <t>ホンキュウ</t>
    </rPh>
    <phoneticPr fontId="10"/>
  </si>
  <si>
    <t>①H27_諸手当（合計）</t>
    <rPh sb="5" eb="8">
      <t>ショテアテ</t>
    </rPh>
    <rPh sb="9" eb="11">
      <t>ゴウケイ</t>
    </rPh>
    <phoneticPr fontId="10"/>
  </si>
  <si>
    <t>①H27_手当_夜勤手当_金額</t>
    <rPh sb="5" eb="7">
      <t>テアテ</t>
    </rPh>
    <rPh sb="8" eb="10">
      <t>ヤキン</t>
    </rPh>
    <rPh sb="10" eb="12">
      <t>テアテ</t>
    </rPh>
    <rPh sb="13" eb="15">
      <t>キンガク</t>
    </rPh>
    <phoneticPr fontId="10"/>
  </si>
  <si>
    <t>①H27_手当_夜勤手当_回数</t>
    <rPh sb="5" eb="7">
      <t>テアテ</t>
    </rPh>
    <rPh sb="8" eb="10">
      <t>ヤキン</t>
    </rPh>
    <rPh sb="10" eb="12">
      <t>テアテ</t>
    </rPh>
    <rPh sb="13" eb="15">
      <t>カイスウ</t>
    </rPh>
    <phoneticPr fontId="10"/>
  </si>
  <si>
    <t>①H27_手当_時間外手当_金額</t>
    <rPh sb="5" eb="7">
      <t>テアテ</t>
    </rPh>
    <rPh sb="8" eb="11">
      <t>ジカンガイ</t>
    </rPh>
    <rPh sb="11" eb="13">
      <t>テアテ</t>
    </rPh>
    <rPh sb="14" eb="16">
      <t>キンガク</t>
    </rPh>
    <phoneticPr fontId="10"/>
  </si>
  <si>
    <t>①H27_手当_時間外手当_時間</t>
    <rPh sb="5" eb="7">
      <t>テアテ</t>
    </rPh>
    <rPh sb="8" eb="11">
      <t>ジカンガイ</t>
    </rPh>
    <rPh sb="11" eb="13">
      <t>テアテ</t>
    </rPh>
    <rPh sb="14" eb="16">
      <t>ジカン</t>
    </rPh>
    <phoneticPr fontId="10"/>
  </si>
  <si>
    <t>①H27_手当_資格手当_金額</t>
    <rPh sb="5" eb="7">
      <t>テアテ</t>
    </rPh>
    <rPh sb="8" eb="10">
      <t>シカク</t>
    </rPh>
    <rPh sb="10" eb="12">
      <t>テアテ</t>
    </rPh>
    <rPh sb="13" eb="15">
      <t>キンガク</t>
    </rPh>
    <phoneticPr fontId="10"/>
  </si>
  <si>
    <t>①H27_手当_資格手当_資格名</t>
    <rPh sb="5" eb="7">
      <t>テアテ</t>
    </rPh>
    <rPh sb="8" eb="10">
      <t>シカク</t>
    </rPh>
    <rPh sb="10" eb="12">
      <t>テアテ</t>
    </rPh>
    <rPh sb="13" eb="15">
      <t>シカク</t>
    </rPh>
    <rPh sb="15" eb="16">
      <t>メイ</t>
    </rPh>
    <phoneticPr fontId="10"/>
  </si>
  <si>
    <t>①H27_手当_処遇改善加算相当額</t>
    <rPh sb="5" eb="7">
      <t>テアテ</t>
    </rPh>
    <rPh sb="8" eb="10">
      <t>ショグウ</t>
    </rPh>
    <rPh sb="10" eb="12">
      <t>カイゼン</t>
    </rPh>
    <rPh sb="12" eb="14">
      <t>カサン</t>
    </rPh>
    <rPh sb="14" eb="16">
      <t>ソウトウ</t>
    </rPh>
    <rPh sb="16" eb="17">
      <t>ガク</t>
    </rPh>
    <phoneticPr fontId="10"/>
  </si>
  <si>
    <t>①H27_手当_その他</t>
    <rPh sb="5" eb="7">
      <t>テアテ</t>
    </rPh>
    <rPh sb="10" eb="11">
      <t>タ</t>
    </rPh>
    <phoneticPr fontId="10"/>
  </si>
  <si>
    <t>②H27_本給</t>
    <rPh sb="5" eb="7">
      <t>ホンキュウ</t>
    </rPh>
    <phoneticPr fontId="10"/>
  </si>
  <si>
    <t>②H27_諸手当（合計）</t>
    <rPh sb="5" eb="8">
      <t>ショテアテ</t>
    </rPh>
    <rPh sb="9" eb="11">
      <t>ゴウケイ</t>
    </rPh>
    <phoneticPr fontId="10"/>
  </si>
  <si>
    <t>②H27_手当_夜勤手当_金額</t>
    <rPh sb="5" eb="7">
      <t>テアテ</t>
    </rPh>
    <rPh sb="8" eb="10">
      <t>ヤキン</t>
    </rPh>
    <rPh sb="10" eb="12">
      <t>テアテ</t>
    </rPh>
    <rPh sb="13" eb="15">
      <t>キンガク</t>
    </rPh>
    <phoneticPr fontId="10"/>
  </si>
  <si>
    <t>②H27_手当_夜勤手当_回数</t>
    <rPh sb="5" eb="7">
      <t>テアテ</t>
    </rPh>
    <rPh sb="8" eb="10">
      <t>ヤキン</t>
    </rPh>
    <rPh sb="10" eb="12">
      <t>テアテ</t>
    </rPh>
    <rPh sb="13" eb="15">
      <t>カイスウ</t>
    </rPh>
    <phoneticPr fontId="10"/>
  </si>
  <si>
    <t>②H27_手当_時間外手当_金額</t>
    <rPh sb="5" eb="7">
      <t>テアテ</t>
    </rPh>
    <rPh sb="8" eb="11">
      <t>ジカンガイ</t>
    </rPh>
    <rPh sb="11" eb="13">
      <t>テアテ</t>
    </rPh>
    <rPh sb="14" eb="16">
      <t>キンガク</t>
    </rPh>
    <phoneticPr fontId="10"/>
  </si>
  <si>
    <t>②H27_手当_時間外手当_時間</t>
    <rPh sb="5" eb="7">
      <t>テアテ</t>
    </rPh>
    <rPh sb="8" eb="11">
      <t>ジカンガイ</t>
    </rPh>
    <rPh sb="11" eb="13">
      <t>テアテ</t>
    </rPh>
    <rPh sb="14" eb="16">
      <t>ジカン</t>
    </rPh>
    <phoneticPr fontId="10"/>
  </si>
  <si>
    <t>②H27_手当_資格手当_金額</t>
    <rPh sb="5" eb="7">
      <t>テアテ</t>
    </rPh>
    <rPh sb="8" eb="10">
      <t>シカク</t>
    </rPh>
    <rPh sb="10" eb="12">
      <t>テアテ</t>
    </rPh>
    <rPh sb="13" eb="15">
      <t>キンガク</t>
    </rPh>
    <phoneticPr fontId="10"/>
  </si>
  <si>
    <t>②H27_手当_資格手当_資格名</t>
    <rPh sb="5" eb="7">
      <t>テアテ</t>
    </rPh>
    <rPh sb="8" eb="10">
      <t>シカク</t>
    </rPh>
    <rPh sb="10" eb="12">
      <t>テアテ</t>
    </rPh>
    <rPh sb="13" eb="15">
      <t>シカク</t>
    </rPh>
    <rPh sb="15" eb="16">
      <t>メイ</t>
    </rPh>
    <phoneticPr fontId="10"/>
  </si>
  <si>
    <t>②H27_手当_処遇改善加算相当額</t>
    <rPh sb="5" eb="7">
      <t>テアテ</t>
    </rPh>
    <rPh sb="8" eb="10">
      <t>ショグウ</t>
    </rPh>
    <rPh sb="10" eb="12">
      <t>カイゼン</t>
    </rPh>
    <rPh sb="12" eb="14">
      <t>カサン</t>
    </rPh>
    <rPh sb="14" eb="16">
      <t>ソウトウ</t>
    </rPh>
    <rPh sb="16" eb="17">
      <t>ガク</t>
    </rPh>
    <phoneticPr fontId="10"/>
  </si>
  <si>
    <t>②H27_手当_その他</t>
    <rPh sb="5" eb="7">
      <t>テアテ</t>
    </rPh>
    <rPh sb="10" eb="11">
      <t>タ</t>
    </rPh>
    <phoneticPr fontId="10"/>
  </si>
  <si>
    <t>③H27_本給</t>
    <rPh sb="5" eb="7">
      <t>ホンキュウ</t>
    </rPh>
    <phoneticPr fontId="10"/>
  </si>
  <si>
    <t>③H27_諸手当（合計）</t>
    <rPh sb="5" eb="8">
      <t>ショテアテ</t>
    </rPh>
    <rPh sb="9" eb="11">
      <t>ゴウケイ</t>
    </rPh>
    <phoneticPr fontId="10"/>
  </si>
  <si>
    <t>③H27_手当_夜勤手当_金額</t>
    <rPh sb="5" eb="7">
      <t>テアテ</t>
    </rPh>
    <rPh sb="8" eb="10">
      <t>ヤキン</t>
    </rPh>
    <rPh sb="10" eb="12">
      <t>テアテ</t>
    </rPh>
    <rPh sb="13" eb="15">
      <t>キンガク</t>
    </rPh>
    <phoneticPr fontId="10"/>
  </si>
  <si>
    <t>③H27_手当_夜勤手当_回数</t>
    <rPh sb="5" eb="7">
      <t>テアテ</t>
    </rPh>
    <rPh sb="8" eb="10">
      <t>ヤキン</t>
    </rPh>
    <rPh sb="10" eb="12">
      <t>テアテ</t>
    </rPh>
    <rPh sb="13" eb="15">
      <t>カイスウ</t>
    </rPh>
    <phoneticPr fontId="10"/>
  </si>
  <si>
    <t>③H27_手当_時間外手当_金額</t>
    <rPh sb="5" eb="7">
      <t>テアテ</t>
    </rPh>
    <rPh sb="8" eb="11">
      <t>ジカンガイ</t>
    </rPh>
    <rPh sb="11" eb="13">
      <t>テアテ</t>
    </rPh>
    <rPh sb="14" eb="16">
      <t>キンガク</t>
    </rPh>
    <phoneticPr fontId="10"/>
  </si>
  <si>
    <t>③H27_手当_時間外手当_時間</t>
    <rPh sb="5" eb="7">
      <t>テアテ</t>
    </rPh>
    <rPh sb="8" eb="11">
      <t>ジカンガイ</t>
    </rPh>
    <rPh sb="11" eb="13">
      <t>テアテ</t>
    </rPh>
    <rPh sb="14" eb="16">
      <t>ジカン</t>
    </rPh>
    <phoneticPr fontId="10"/>
  </si>
  <si>
    <t>③H27_手当_資格手当_金額</t>
    <rPh sb="5" eb="7">
      <t>テアテ</t>
    </rPh>
    <rPh sb="8" eb="10">
      <t>シカク</t>
    </rPh>
    <rPh sb="10" eb="12">
      <t>テアテ</t>
    </rPh>
    <rPh sb="13" eb="15">
      <t>キンガク</t>
    </rPh>
    <phoneticPr fontId="10"/>
  </si>
  <si>
    <t>③H27_手当_資格手当_資格名</t>
    <rPh sb="5" eb="7">
      <t>テアテ</t>
    </rPh>
    <rPh sb="8" eb="10">
      <t>シカク</t>
    </rPh>
    <rPh sb="10" eb="12">
      <t>テアテ</t>
    </rPh>
    <rPh sb="13" eb="15">
      <t>シカク</t>
    </rPh>
    <rPh sb="15" eb="16">
      <t>メイ</t>
    </rPh>
    <phoneticPr fontId="10"/>
  </si>
  <si>
    <t>③H27_手当_処遇改善加算相当額</t>
    <rPh sb="5" eb="7">
      <t>テアテ</t>
    </rPh>
    <rPh sb="8" eb="10">
      <t>ショグウ</t>
    </rPh>
    <rPh sb="10" eb="12">
      <t>カイゼン</t>
    </rPh>
    <rPh sb="12" eb="14">
      <t>カサン</t>
    </rPh>
    <rPh sb="14" eb="16">
      <t>ソウトウ</t>
    </rPh>
    <rPh sb="16" eb="17">
      <t>ガク</t>
    </rPh>
    <phoneticPr fontId="10"/>
  </si>
  <si>
    <t>③H27_手当_その他</t>
    <rPh sb="5" eb="7">
      <t>テアテ</t>
    </rPh>
    <rPh sb="10" eb="11">
      <t>タ</t>
    </rPh>
    <phoneticPr fontId="10"/>
  </si>
  <si>
    <t>④H27_本給</t>
    <rPh sb="5" eb="7">
      <t>ホンキュウ</t>
    </rPh>
    <phoneticPr fontId="10"/>
  </si>
  <si>
    <t>④H27_諸手当（合計）</t>
    <rPh sb="5" eb="8">
      <t>ショテアテ</t>
    </rPh>
    <rPh sb="9" eb="11">
      <t>ゴウケイ</t>
    </rPh>
    <phoneticPr fontId="10"/>
  </si>
  <si>
    <t>④H27_手当_夜勤手当_金額</t>
    <rPh sb="5" eb="7">
      <t>テアテ</t>
    </rPh>
    <rPh sb="8" eb="10">
      <t>ヤキン</t>
    </rPh>
    <rPh sb="10" eb="12">
      <t>テアテ</t>
    </rPh>
    <rPh sb="13" eb="15">
      <t>キンガク</t>
    </rPh>
    <phoneticPr fontId="10"/>
  </si>
  <si>
    <t>④H27_手当_夜勤手当_回数</t>
    <rPh sb="5" eb="7">
      <t>テアテ</t>
    </rPh>
    <rPh sb="8" eb="10">
      <t>ヤキン</t>
    </rPh>
    <rPh sb="10" eb="12">
      <t>テアテ</t>
    </rPh>
    <rPh sb="13" eb="15">
      <t>カイスウ</t>
    </rPh>
    <phoneticPr fontId="10"/>
  </si>
  <si>
    <t>④H27_手当_時間外手当_金額</t>
    <rPh sb="5" eb="7">
      <t>テアテ</t>
    </rPh>
    <rPh sb="8" eb="11">
      <t>ジカンガイ</t>
    </rPh>
    <rPh sb="11" eb="13">
      <t>テアテ</t>
    </rPh>
    <rPh sb="14" eb="16">
      <t>キンガク</t>
    </rPh>
    <phoneticPr fontId="10"/>
  </si>
  <si>
    <t>④H27_手当_時間外手当_時間</t>
    <rPh sb="5" eb="7">
      <t>テアテ</t>
    </rPh>
    <rPh sb="8" eb="11">
      <t>ジカンガイ</t>
    </rPh>
    <rPh sb="11" eb="13">
      <t>テアテ</t>
    </rPh>
    <rPh sb="14" eb="16">
      <t>ジカン</t>
    </rPh>
    <phoneticPr fontId="10"/>
  </si>
  <si>
    <t>④H27_手当_資格手当_金額</t>
    <rPh sb="5" eb="7">
      <t>テアテ</t>
    </rPh>
    <rPh sb="8" eb="10">
      <t>シカク</t>
    </rPh>
    <rPh sb="10" eb="12">
      <t>テアテ</t>
    </rPh>
    <rPh sb="13" eb="15">
      <t>キンガク</t>
    </rPh>
    <phoneticPr fontId="10"/>
  </si>
  <si>
    <t>④H27_手当_資格手当_資格名</t>
    <rPh sb="5" eb="7">
      <t>テアテ</t>
    </rPh>
    <rPh sb="8" eb="10">
      <t>シカク</t>
    </rPh>
    <rPh sb="10" eb="12">
      <t>テアテ</t>
    </rPh>
    <rPh sb="13" eb="15">
      <t>シカク</t>
    </rPh>
    <rPh sb="15" eb="16">
      <t>メイ</t>
    </rPh>
    <phoneticPr fontId="10"/>
  </si>
  <si>
    <t>④H27_手当_処遇改善加算相当額</t>
    <rPh sb="5" eb="7">
      <t>テアテ</t>
    </rPh>
    <rPh sb="8" eb="10">
      <t>ショグウ</t>
    </rPh>
    <rPh sb="10" eb="12">
      <t>カイゼン</t>
    </rPh>
    <rPh sb="12" eb="14">
      <t>カサン</t>
    </rPh>
    <rPh sb="14" eb="16">
      <t>ソウトウ</t>
    </rPh>
    <rPh sb="16" eb="17">
      <t>ガク</t>
    </rPh>
    <phoneticPr fontId="10"/>
  </si>
  <si>
    <t>④H27_手当_その他</t>
    <rPh sb="5" eb="7">
      <t>テアテ</t>
    </rPh>
    <rPh sb="10" eb="11">
      <t>タ</t>
    </rPh>
    <phoneticPr fontId="10"/>
  </si>
  <si>
    <t>⑤H27_本給</t>
    <rPh sb="5" eb="7">
      <t>ホンキュウ</t>
    </rPh>
    <phoneticPr fontId="10"/>
  </si>
  <si>
    <t>⑤H27_諸手当（合計）</t>
    <rPh sb="5" eb="8">
      <t>ショテアテ</t>
    </rPh>
    <rPh sb="9" eb="11">
      <t>ゴウケイ</t>
    </rPh>
    <phoneticPr fontId="10"/>
  </si>
  <si>
    <t>⑤H27_手当_夜勤手当_金額</t>
    <rPh sb="5" eb="7">
      <t>テアテ</t>
    </rPh>
    <rPh sb="8" eb="10">
      <t>ヤキン</t>
    </rPh>
    <rPh sb="10" eb="12">
      <t>テアテ</t>
    </rPh>
    <rPh sb="13" eb="15">
      <t>キンガク</t>
    </rPh>
    <phoneticPr fontId="10"/>
  </si>
  <si>
    <t>⑤H27_手当_夜勤手当_回数</t>
    <rPh sb="5" eb="7">
      <t>テアテ</t>
    </rPh>
    <rPh sb="8" eb="10">
      <t>ヤキン</t>
    </rPh>
    <rPh sb="10" eb="12">
      <t>テアテ</t>
    </rPh>
    <rPh sb="13" eb="15">
      <t>カイスウ</t>
    </rPh>
    <phoneticPr fontId="10"/>
  </si>
  <si>
    <t>⑤H27_手当_時間外手当_金額</t>
    <rPh sb="5" eb="7">
      <t>テアテ</t>
    </rPh>
    <rPh sb="8" eb="11">
      <t>ジカンガイ</t>
    </rPh>
    <rPh sb="11" eb="13">
      <t>テアテ</t>
    </rPh>
    <rPh sb="14" eb="16">
      <t>キンガク</t>
    </rPh>
    <phoneticPr fontId="10"/>
  </si>
  <si>
    <t>⑤H27_手当_時間外手当_時間</t>
    <rPh sb="5" eb="7">
      <t>テアテ</t>
    </rPh>
    <rPh sb="8" eb="11">
      <t>ジカンガイ</t>
    </rPh>
    <rPh sb="11" eb="13">
      <t>テアテ</t>
    </rPh>
    <rPh sb="14" eb="16">
      <t>ジカン</t>
    </rPh>
    <phoneticPr fontId="10"/>
  </si>
  <si>
    <t>⑤H27_手当_資格手当_金額</t>
    <rPh sb="5" eb="7">
      <t>テアテ</t>
    </rPh>
    <rPh sb="8" eb="10">
      <t>シカク</t>
    </rPh>
    <rPh sb="10" eb="12">
      <t>テアテ</t>
    </rPh>
    <rPh sb="13" eb="15">
      <t>キンガク</t>
    </rPh>
    <phoneticPr fontId="10"/>
  </si>
  <si>
    <t>⑤H27_手当_資格手当_資格名</t>
    <rPh sb="5" eb="7">
      <t>テアテ</t>
    </rPh>
    <rPh sb="8" eb="10">
      <t>シカク</t>
    </rPh>
    <rPh sb="10" eb="12">
      <t>テアテ</t>
    </rPh>
    <rPh sb="13" eb="15">
      <t>シカク</t>
    </rPh>
    <rPh sb="15" eb="16">
      <t>メイ</t>
    </rPh>
    <phoneticPr fontId="10"/>
  </si>
  <si>
    <t>⑤H27_手当_処遇改善加算相当額</t>
    <rPh sb="5" eb="7">
      <t>テアテ</t>
    </rPh>
    <rPh sb="8" eb="10">
      <t>ショグウ</t>
    </rPh>
    <rPh sb="10" eb="12">
      <t>カイゼン</t>
    </rPh>
    <rPh sb="12" eb="14">
      <t>カサン</t>
    </rPh>
    <rPh sb="14" eb="16">
      <t>ソウトウ</t>
    </rPh>
    <rPh sb="16" eb="17">
      <t>ガク</t>
    </rPh>
    <phoneticPr fontId="10"/>
  </si>
  <si>
    <t>⑤H27_手当_その他</t>
    <rPh sb="5" eb="7">
      <t>テアテ</t>
    </rPh>
    <rPh sb="10" eb="11">
      <t>タ</t>
    </rPh>
    <phoneticPr fontId="10"/>
  </si>
  <si>
    <t>⑥H27_本給</t>
    <rPh sb="5" eb="7">
      <t>ホンキュウ</t>
    </rPh>
    <phoneticPr fontId="10"/>
  </si>
  <si>
    <t>⑥H27_諸手当（合計）</t>
    <rPh sb="5" eb="8">
      <t>ショテアテ</t>
    </rPh>
    <rPh sb="9" eb="11">
      <t>ゴウケイ</t>
    </rPh>
    <phoneticPr fontId="10"/>
  </si>
  <si>
    <t>⑥H27_手当_夜勤手当_金額</t>
    <rPh sb="5" eb="7">
      <t>テアテ</t>
    </rPh>
    <rPh sb="8" eb="10">
      <t>ヤキン</t>
    </rPh>
    <rPh sb="10" eb="12">
      <t>テアテ</t>
    </rPh>
    <rPh sb="13" eb="15">
      <t>キンガク</t>
    </rPh>
    <phoneticPr fontId="10"/>
  </si>
  <si>
    <t>⑥H27_手当_夜勤手当_回数</t>
    <rPh sb="5" eb="7">
      <t>テアテ</t>
    </rPh>
    <rPh sb="8" eb="10">
      <t>ヤキン</t>
    </rPh>
    <rPh sb="10" eb="12">
      <t>テアテ</t>
    </rPh>
    <rPh sb="13" eb="15">
      <t>カイスウ</t>
    </rPh>
    <phoneticPr fontId="10"/>
  </si>
  <si>
    <t>⑥H27_手当_時間外手当_金額</t>
    <rPh sb="5" eb="7">
      <t>テアテ</t>
    </rPh>
    <rPh sb="8" eb="11">
      <t>ジカンガイ</t>
    </rPh>
    <rPh sb="11" eb="13">
      <t>テアテ</t>
    </rPh>
    <rPh sb="14" eb="16">
      <t>キンガク</t>
    </rPh>
    <phoneticPr fontId="10"/>
  </si>
  <si>
    <t>⑥H27_手当_時間外手当_時間</t>
    <rPh sb="5" eb="7">
      <t>テアテ</t>
    </rPh>
    <rPh sb="8" eb="11">
      <t>ジカンガイ</t>
    </rPh>
    <rPh sb="11" eb="13">
      <t>テアテ</t>
    </rPh>
    <rPh sb="14" eb="16">
      <t>ジカン</t>
    </rPh>
    <phoneticPr fontId="10"/>
  </si>
  <si>
    <t>⑥H27_手当_資格手当_金額</t>
    <rPh sb="5" eb="7">
      <t>テアテ</t>
    </rPh>
    <rPh sb="8" eb="10">
      <t>シカク</t>
    </rPh>
    <rPh sb="10" eb="12">
      <t>テアテ</t>
    </rPh>
    <rPh sb="13" eb="15">
      <t>キンガク</t>
    </rPh>
    <phoneticPr fontId="10"/>
  </si>
  <si>
    <t>⑥H27_手当_資格手当_資格名</t>
    <rPh sb="5" eb="7">
      <t>テアテ</t>
    </rPh>
    <rPh sb="8" eb="10">
      <t>シカク</t>
    </rPh>
    <rPh sb="10" eb="12">
      <t>テアテ</t>
    </rPh>
    <rPh sb="13" eb="15">
      <t>シカク</t>
    </rPh>
    <rPh sb="15" eb="16">
      <t>メイ</t>
    </rPh>
    <phoneticPr fontId="10"/>
  </si>
  <si>
    <t>⑥H27_手当_処遇改善加算相当額</t>
    <rPh sb="5" eb="7">
      <t>テアテ</t>
    </rPh>
    <rPh sb="8" eb="10">
      <t>ショグウ</t>
    </rPh>
    <rPh sb="10" eb="12">
      <t>カイゼン</t>
    </rPh>
    <rPh sb="12" eb="14">
      <t>カサン</t>
    </rPh>
    <rPh sb="14" eb="16">
      <t>ソウトウ</t>
    </rPh>
    <rPh sb="16" eb="17">
      <t>ガク</t>
    </rPh>
    <phoneticPr fontId="10"/>
  </si>
  <si>
    <t>⑥H27_手当_その他</t>
    <rPh sb="5" eb="7">
      <t>テアテ</t>
    </rPh>
    <rPh sb="10" eb="11">
      <t>タ</t>
    </rPh>
    <phoneticPr fontId="10"/>
  </si>
  <si>
    <t>４．開設年度　西暦  年</t>
    <rPh sb="7" eb="9">
      <t>セイレキ</t>
    </rPh>
    <rPh sb="11" eb="12">
      <t>ネン</t>
    </rPh>
    <phoneticPr fontId="10"/>
  </si>
  <si>
    <t>　　　④派遣_調理職員（常勤換算）</t>
    <rPh sb="4" eb="6">
      <t>ハケン</t>
    </rPh>
    <rPh sb="7" eb="9">
      <t>チョウリ</t>
    </rPh>
    <rPh sb="9" eb="11">
      <t>ショクイン</t>
    </rPh>
    <rPh sb="12" eb="16">
      <t>ジョウキンカンサン</t>
    </rPh>
    <phoneticPr fontId="10"/>
  </si>
  <si>
    <t>　　　⑤派遣_その他（常勤換算）</t>
    <rPh sb="4" eb="6">
      <t>ハケン</t>
    </rPh>
    <rPh sb="9" eb="10">
      <t>タ</t>
    </rPh>
    <rPh sb="11" eb="15">
      <t>ジョウキンカンサン</t>
    </rPh>
    <phoneticPr fontId="10"/>
  </si>
  <si>
    <t>　　　③派遣_PT・OT・ST（常勤換算）</t>
    <rPh sb="16" eb="18">
      <t>ジョウキン</t>
    </rPh>
    <rPh sb="18" eb="20">
      <t>カンサン</t>
    </rPh>
    <phoneticPr fontId="10"/>
  </si>
  <si>
    <t>　　　委託費_給食委託</t>
    <rPh sb="3" eb="5">
      <t>イタク</t>
    </rPh>
    <rPh sb="5" eb="6">
      <t>ヒ</t>
    </rPh>
    <rPh sb="7" eb="9">
      <t>キュウショク</t>
    </rPh>
    <rPh sb="9" eb="11">
      <t>イタク</t>
    </rPh>
    <phoneticPr fontId="10"/>
  </si>
  <si>
    <t>合計</t>
    <rPh sb="0" eb="2">
      <t>ゴウケイ</t>
    </rPh>
    <phoneticPr fontId="10"/>
  </si>
  <si>
    <t xml:space="preserve">要介護度1               </t>
    <phoneticPr fontId="10"/>
  </si>
  <si>
    <t xml:space="preserve">要介護度2               </t>
    <phoneticPr fontId="10"/>
  </si>
  <si>
    <t xml:space="preserve">要介護度3               </t>
    <phoneticPr fontId="10"/>
  </si>
  <si>
    <t xml:space="preserve">要介護度4               </t>
    <phoneticPr fontId="10"/>
  </si>
  <si>
    <t xml:space="preserve">要介護度5               </t>
    <phoneticPr fontId="10"/>
  </si>
  <si>
    <t>要介護度平均</t>
    <rPh sb="4" eb="6">
      <t>ヘイキン</t>
    </rPh>
    <phoneticPr fontId="10"/>
  </si>
  <si>
    <t>Ⅰ</t>
    <phoneticPr fontId="27"/>
  </si>
  <si>
    <t>Ⅱa</t>
    <phoneticPr fontId="27"/>
  </si>
  <si>
    <t>Ⅱb</t>
    <phoneticPr fontId="27"/>
  </si>
  <si>
    <t xml:space="preserve">第1段階（自己負担有）_利用者延べ人数        </t>
    <rPh sb="0" eb="1">
      <t>ダイ</t>
    </rPh>
    <rPh sb="5" eb="7">
      <t>ジコ</t>
    </rPh>
    <rPh sb="7" eb="9">
      <t>フタン</t>
    </rPh>
    <rPh sb="9" eb="10">
      <t>アリ</t>
    </rPh>
    <phoneticPr fontId="10"/>
  </si>
  <si>
    <t xml:space="preserve">第1段階（自己負担無）_利用者延べ人数        </t>
    <rPh sb="0" eb="1">
      <t>ダイ</t>
    </rPh>
    <rPh sb="5" eb="7">
      <t>ジコ</t>
    </rPh>
    <rPh sb="7" eb="9">
      <t>フタン</t>
    </rPh>
    <rPh sb="9" eb="10">
      <t>ナシ</t>
    </rPh>
    <phoneticPr fontId="10"/>
  </si>
  <si>
    <t xml:space="preserve">第2段階_利用者延べ人数        </t>
    <phoneticPr fontId="10"/>
  </si>
  <si>
    <t xml:space="preserve">第3段階_利用者延べ人数        </t>
    <phoneticPr fontId="10"/>
  </si>
  <si>
    <t xml:space="preserve">第4段階_利用者延べ人数        </t>
    <phoneticPr fontId="10"/>
  </si>
  <si>
    <t>食費_年間延べ対象者数</t>
    <rPh sb="0" eb="2">
      <t>ショクヒ</t>
    </rPh>
    <rPh sb="3" eb="5">
      <t>ネンカン</t>
    </rPh>
    <rPh sb="5" eb="6">
      <t>ノ</t>
    </rPh>
    <rPh sb="7" eb="10">
      <t>タイショウシャ</t>
    </rPh>
    <rPh sb="10" eb="11">
      <t>スウ</t>
    </rPh>
    <phoneticPr fontId="27"/>
  </si>
  <si>
    <t>食費_年間軽減総額</t>
    <rPh sb="0" eb="2">
      <t>ショクヒ</t>
    </rPh>
    <rPh sb="3" eb="5">
      <t>ネンカン</t>
    </rPh>
    <rPh sb="5" eb="7">
      <t>ケイゲン</t>
    </rPh>
    <rPh sb="7" eb="9">
      <t>ソウガク</t>
    </rPh>
    <phoneticPr fontId="27"/>
  </si>
  <si>
    <t>居住費_年間延べ対象者数</t>
    <rPh sb="0" eb="2">
      <t>キョジュウ</t>
    </rPh>
    <rPh sb="2" eb="3">
      <t>ヒ</t>
    </rPh>
    <rPh sb="4" eb="6">
      <t>ネンカン</t>
    </rPh>
    <rPh sb="6" eb="7">
      <t>ノ</t>
    </rPh>
    <rPh sb="8" eb="11">
      <t>タイショウシャ</t>
    </rPh>
    <rPh sb="11" eb="12">
      <t>スウ</t>
    </rPh>
    <phoneticPr fontId="27"/>
  </si>
  <si>
    <t>居住費_年間軽減総額</t>
    <rPh sb="0" eb="2">
      <t>キョジュウ</t>
    </rPh>
    <rPh sb="2" eb="3">
      <t>ヒ</t>
    </rPh>
    <rPh sb="4" eb="6">
      <t>ネンカン</t>
    </rPh>
    <rPh sb="6" eb="8">
      <t>ケイゲン</t>
    </rPh>
    <rPh sb="8" eb="10">
      <t>ソウガク</t>
    </rPh>
    <phoneticPr fontId="27"/>
  </si>
  <si>
    <t>その他日常生活費等_年間延べ対象者数</t>
    <rPh sb="2" eb="3">
      <t>タ</t>
    </rPh>
    <rPh sb="3" eb="5">
      <t>ニチジョウ</t>
    </rPh>
    <rPh sb="5" eb="7">
      <t>セイカツ</t>
    </rPh>
    <rPh sb="7" eb="9">
      <t>ヒナド</t>
    </rPh>
    <rPh sb="10" eb="12">
      <t>ネンカン</t>
    </rPh>
    <rPh sb="12" eb="13">
      <t>ノ</t>
    </rPh>
    <rPh sb="14" eb="17">
      <t>タイショウシャ</t>
    </rPh>
    <rPh sb="17" eb="18">
      <t>スウ</t>
    </rPh>
    <phoneticPr fontId="27"/>
  </si>
  <si>
    <t>その他日常生活費等_年間軽減総額</t>
    <rPh sb="2" eb="3">
      <t>タ</t>
    </rPh>
    <rPh sb="3" eb="5">
      <t>ニチジョウ</t>
    </rPh>
    <rPh sb="5" eb="7">
      <t>セイカツ</t>
    </rPh>
    <rPh sb="7" eb="9">
      <t>ヒナド</t>
    </rPh>
    <rPh sb="10" eb="12">
      <t>ネンカン</t>
    </rPh>
    <rPh sb="12" eb="14">
      <t>ケイゲン</t>
    </rPh>
    <rPh sb="14" eb="16">
      <t>ソウガク</t>
    </rPh>
    <phoneticPr fontId="27"/>
  </si>
  <si>
    <t>一律_年間延べ対象者数</t>
    <rPh sb="0" eb="2">
      <t>イチリツ</t>
    </rPh>
    <rPh sb="3" eb="5">
      <t>ネンカン</t>
    </rPh>
    <rPh sb="5" eb="6">
      <t>ノ</t>
    </rPh>
    <rPh sb="7" eb="10">
      <t>タイショウシャ</t>
    </rPh>
    <rPh sb="10" eb="11">
      <t>スウ</t>
    </rPh>
    <phoneticPr fontId="27"/>
  </si>
  <si>
    <t>一律_年間軽減総額</t>
    <rPh sb="0" eb="2">
      <t>イチリツ</t>
    </rPh>
    <rPh sb="3" eb="5">
      <t>ネンカン</t>
    </rPh>
    <rPh sb="5" eb="7">
      <t>ケイゲン</t>
    </rPh>
    <rPh sb="7" eb="9">
      <t>ソウガク</t>
    </rPh>
    <phoneticPr fontId="27"/>
  </si>
  <si>
    <t>年間利用者延べ人数_②ショート</t>
    <rPh sb="0" eb="2">
      <t>ネンカン</t>
    </rPh>
    <rPh sb="2" eb="5">
      <t>リヨウシャ</t>
    </rPh>
    <rPh sb="5" eb="6">
      <t>ノ</t>
    </rPh>
    <rPh sb="7" eb="9">
      <t>ニンズウ</t>
    </rPh>
    <phoneticPr fontId="27"/>
  </si>
  <si>
    <t>年間利用者延べ人数_③うち、空床利用</t>
    <rPh sb="0" eb="2">
      <t>ネンカン</t>
    </rPh>
    <rPh sb="2" eb="5">
      <t>リヨウシャ</t>
    </rPh>
    <rPh sb="5" eb="6">
      <t>ノ</t>
    </rPh>
    <rPh sb="7" eb="9">
      <t>ニンズウ</t>
    </rPh>
    <rPh sb="14" eb="16">
      <t>クウショウ</t>
    </rPh>
    <rPh sb="16" eb="18">
      <t>リヨウ</t>
    </rPh>
    <phoneticPr fontId="27"/>
  </si>
  <si>
    <t>年間利用者延べ人数_合計（①＋②）</t>
    <rPh sb="0" eb="6">
      <t>ネンカンリヨウシャノ</t>
    </rPh>
    <rPh sb="7" eb="9">
      <t>ニンズウ</t>
    </rPh>
    <rPh sb="10" eb="12">
      <t>ゴウケイ</t>
    </rPh>
    <phoneticPr fontId="27"/>
  </si>
  <si>
    <t>ショート_定員数</t>
  </si>
  <si>
    <t>定員数_合計</t>
  </si>
  <si>
    <t xml:space="preserve">第4段階_居住費_多床室        </t>
    <phoneticPr fontId="10"/>
  </si>
  <si>
    <t xml:space="preserve">第4段階_居住費_従来型個室      </t>
    <phoneticPr fontId="10"/>
  </si>
  <si>
    <t xml:space="preserve">第4段階_居住費_ユニット型準個室   </t>
    <phoneticPr fontId="10"/>
  </si>
  <si>
    <t xml:space="preserve">第4段階_居住費_ユニット型個室    </t>
    <phoneticPr fontId="10"/>
  </si>
  <si>
    <t>第4段階_日常生活品費</t>
    <rPh sb="0" eb="1">
      <t>ダイ</t>
    </rPh>
    <rPh sb="2" eb="4">
      <t>ダンカイ</t>
    </rPh>
    <rPh sb="5" eb="7">
      <t>ニチジョウ</t>
    </rPh>
    <rPh sb="7" eb="9">
      <t>セイカツ</t>
    </rPh>
    <rPh sb="9" eb="10">
      <t>ヒン</t>
    </rPh>
    <rPh sb="10" eb="11">
      <t>ヒ</t>
    </rPh>
    <phoneticPr fontId="27"/>
  </si>
  <si>
    <t>土地②_保有形態</t>
    <rPh sb="0" eb="2">
      <t>トチ</t>
    </rPh>
    <rPh sb="4" eb="6">
      <t>ホユウ</t>
    </rPh>
    <rPh sb="6" eb="8">
      <t>ケイタイ</t>
    </rPh>
    <phoneticPr fontId="27"/>
  </si>
  <si>
    <t>土地②_金額</t>
    <rPh sb="0" eb="2">
      <t>トチ</t>
    </rPh>
    <rPh sb="4" eb="6">
      <t>キンガク</t>
    </rPh>
    <phoneticPr fontId="27"/>
  </si>
  <si>
    <t>土地②_うち、補助金</t>
    <rPh sb="0" eb="2">
      <t>トチ</t>
    </rPh>
    <rPh sb="7" eb="10">
      <t>ホジョキン</t>
    </rPh>
    <phoneticPr fontId="27"/>
  </si>
  <si>
    <t>土地②_面積</t>
    <rPh sb="0" eb="2">
      <t>トチ</t>
    </rPh>
    <rPh sb="4" eb="6">
      <t>メンセキ</t>
    </rPh>
    <phoneticPr fontId="27"/>
  </si>
  <si>
    <t>建物①_保有形態</t>
    <rPh sb="0" eb="2">
      <t>タテモノ</t>
    </rPh>
    <rPh sb="4" eb="6">
      <t>ホユウ</t>
    </rPh>
    <rPh sb="6" eb="8">
      <t>ケイタイ</t>
    </rPh>
    <phoneticPr fontId="27"/>
  </si>
  <si>
    <t>建物①_金額</t>
    <rPh sb="0" eb="2">
      <t>タテモノ</t>
    </rPh>
    <rPh sb="4" eb="6">
      <t>キンガク</t>
    </rPh>
    <phoneticPr fontId="27"/>
  </si>
  <si>
    <t>建物①_うち、補助金</t>
    <rPh sb="7" eb="10">
      <t>ホジョキン</t>
    </rPh>
    <phoneticPr fontId="27"/>
  </si>
  <si>
    <t>建物①_延べ床面積</t>
    <rPh sb="4" eb="5">
      <t>ノ</t>
    </rPh>
    <rPh sb="6" eb="9">
      <t>ユカメンセキ</t>
    </rPh>
    <phoneticPr fontId="27"/>
  </si>
  <si>
    <t>建物②_保有形態</t>
    <rPh sb="4" eb="6">
      <t>ホユウ</t>
    </rPh>
    <rPh sb="6" eb="8">
      <t>ケイタイ</t>
    </rPh>
    <phoneticPr fontId="27"/>
  </si>
  <si>
    <t>建物②_金額</t>
    <rPh sb="4" eb="6">
      <t>キンガク</t>
    </rPh>
    <phoneticPr fontId="27"/>
  </si>
  <si>
    <t>建物②_うち、補助金</t>
    <rPh sb="7" eb="10">
      <t>ホジョキン</t>
    </rPh>
    <phoneticPr fontId="27"/>
  </si>
  <si>
    <t>建物②_延べ床面積</t>
    <rPh sb="4" eb="5">
      <t>ノ</t>
    </rPh>
    <rPh sb="6" eb="9">
      <t>ユカメンセキ</t>
    </rPh>
    <phoneticPr fontId="27"/>
  </si>
  <si>
    <t>算定要件_②</t>
    <rPh sb="0" eb="2">
      <t>サンテイ</t>
    </rPh>
    <rPh sb="2" eb="4">
      <t>ヨウケン</t>
    </rPh>
    <phoneticPr fontId="27"/>
  </si>
  <si>
    <t>算定要件_③</t>
    <rPh sb="0" eb="2">
      <t>サンテイ</t>
    </rPh>
    <rPh sb="2" eb="4">
      <t>ヨウケン</t>
    </rPh>
    <phoneticPr fontId="27"/>
  </si>
  <si>
    <t>算定要件_④</t>
    <rPh sb="0" eb="4">
      <t>サンテイヨウケン</t>
    </rPh>
    <phoneticPr fontId="27"/>
  </si>
  <si>
    <t>算定要件_④</t>
    <rPh sb="0" eb="2">
      <t>サンテイ</t>
    </rPh>
    <rPh sb="2" eb="4">
      <t>ヨウケン</t>
    </rPh>
    <phoneticPr fontId="27"/>
  </si>
  <si>
    <t>算定要件_⑤</t>
    <rPh sb="0" eb="2">
      <t>サンテイ</t>
    </rPh>
    <rPh sb="2" eb="4">
      <t>ヨウケン</t>
    </rPh>
    <phoneticPr fontId="27"/>
  </si>
  <si>
    <t>下記項目について必要事項をご記載、該当項目をご選択ください。　</t>
    <rPh sb="23" eb="25">
      <t>センタク</t>
    </rPh>
    <phoneticPr fontId="10"/>
  </si>
  <si>
    <t>例：建替え・大規模修繕などで定員数が昨年度から変わった、給食を外部委託に変更したため、職員数が変わった　等</t>
    <rPh sb="0" eb="1">
      <t>レイ</t>
    </rPh>
    <rPh sb="2" eb="4">
      <t>タテカ</t>
    </rPh>
    <rPh sb="6" eb="9">
      <t>ダイキボ</t>
    </rPh>
    <rPh sb="9" eb="11">
      <t>シュウゼン</t>
    </rPh>
    <rPh sb="14" eb="17">
      <t>テイインスウ</t>
    </rPh>
    <rPh sb="18" eb="21">
      <t>サクネンド</t>
    </rPh>
    <rPh sb="23" eb="24">
      <t>カ</t>
    </rPh>
    <rPh sb="28" eb="30">
      <t>キュウショク</t>
    </rPh>
    <rPh sb="31" eb="33">
      <t>ガイブ</t>
    </rPh>
    <rPh sb="33" eb="35">
      <t>イタク</t>
    </rPh>
    <rPh sb="36" eb="38">
      <t>ヘンコウ</t>
    </rPh>
    <rPh sb="43" eb="46">
      <t>ショクインスウ</t>
    </rPh>
    <rPh sb="47" eb="48">
      <t>カ</t>
    </rPh>
    <rPh sb="52" eb="53">
      <t>ナド</t>
    </rPh>
    <phoneticPr fontId="10"/>
  </si>
  <si>
    <t>●</t>
    <phoneticPr fontId="10"/>
  </si>
  <si>
    <t>②短期入所の年間利用者延べ人数の内、特養の空床利用における短期入所の年間利用者延べ人数は「③短期入所の内、空床利用」に回答してください。</t>
    <phoneticPr fontId="10"/>
  </si>
  <si>
    <t>一律負担は、食費、居住費、その他日常生活費等の区別なく、一律で法人が負担している総額を回答してください。</t>
    <rPh sb="0" eb="2">
      <t>イチリツ</t>
    </rPh>
    <rPh sb="2" eb="4">
      <t>フタン</t>
    </rPh>
    <rPh sb="6" eb="8">
      <t>ショクヒ</t>
    </rPh>
    <rPh sb="9" eb="11">
      <t>キョジュウ</t>
    </rPh>
    <rPh sb="11" eb="12">
      <t>ヒ</t>
    </rPh>
    <rPh sb="15" eb="16">
      <t>タ</t>
    </rPh>
    <rPh sb="16" eb="18">
      <t>ニチジョウ</t>
    </rPh>
    <rPh sb="18" eb="20">
      <t>セイカツ</t>
    </rPh>
    <rPh sb="20" eb="21">
      <t>ヒ</t>
    </rPh>
    <rPh sb="21" eb="22">
      <t>ナド</t>
    </rPh>
    <rPh sb="23" eb="25">
      <t>クベツ</t>
    </rPh>
    <rPh sb="28" eb="30">
      <t>イチリツ</t>
    </rPh>
    <rPh sb="31" eb="33">
      <t>ホウジン</t>
    </rPh>
    <rPh sb="34" eb="36">
      <t>フタン</t>
    </rPh>
    <rPh sb="40" eb="42">
      <t>ソウガク</t>
    </rPh>
    <rPh sb="43" eb="45">
      <t>カイトウ</t>
    </rPh>
    <phoneticPr fontId="10"/>
  </si>
  <si>
    <t>1人当たり軽減額
（入力確認用）</t>
    <rPh sb="1" eb="2">
      <t>ニン</t>
    </rPh>
    <rPh sb="2" eb="3">
      <t>ア</t>
    </rPh>
    <rPh sb="5" eb="7">
      <t>ケイゲン</t>
    </rPh>
    <rPh sb="7" eb="8">
      <t>ガク</t>
    </rPh>
    <rPh sb="10" eb="12">
      <t>ニュウリョク</t>
    </rPh>
    <rPh sb="12" eb="14">
      <t>カクニン</t>
    </rPh>
    <rPh sb="14" eb="15">
      <t>ヨウ</t>
    </rPh>
    <phoneticPr fontId="10"/>
  </si>
  <si>
    <r>
      <t>③入力すると、セルが白くなります。</t>
    </r>
    <r>
      <rPr>
        <u/>
        <sz val="11"/>
        <color theme="1"/>
        <rFont val="ＭＳ Ｐ明朝"/>
        <family val="1"/>
        <charset val="128"/>
      </rPr>
      <t>数値が「０（ゼロ）」の場合は、「０（ゼロ））」を入力してください。</t>
    </r>
    <rPh sb="1" eb="3">
      <t>ニュウリョク</t>
    </rPh>
    <rPh sb="10" eb="11">
      <t>シロ</t>
    </rPh>
    <rPh sb="17" eb="19">
      <t>スウチ</t>
    </rPh>
    <rPh sb="28" eb="30">
      <t>バアイ</t>
    </rPh>
    <rPh sb="41" eb="43">
      <t>ニュウリョク</t>
    </rPh>
    <phoneticPr fontId="10"/>
  </si>
  <si>
    <t>合計</t>
    <rPh sb="0" eb="2">
      <t>ゴウケイ</t>
    </rPh>
    <phoneticPr fontId="10"/>
  </si>
  <si>
    <t>①実数</t>
    <phoneticPr fontId="10"/>
  </si>
  <si>
    <t>②実数</t>
    <rPh sb="1" eb="3">
      <t>ジッスウ</t>
    </rPh>
    <phoneticPr fontId="10"/>
  </si>
  <si>
    <t>③常勤換算</t>
    <rPh sb="1" eb="3">
      <t>ジョウキン</t>
    </rPh>
    <rPh sb="3" eb="5">
      <t>カンサン</t>
    </rPh>
    <phoneticPr fontId="10"/>
  </si>
  <si>
    <t>④合計
（①+③）</t>
    <rPh sb="1" eb="3">
      <t>ゴウケイ</t>
    </rPh>
    <phoneticPr fontId="10"/>
  </si>
  <si>
    <t>⑤実数</t>
    <rPh sb="1" eb="3">
      <t>ジッスウ</t>
    </rPh>
    <phoneticPr fontId="10"/>
  </si>
  <si>
    <t>⑥常勤換算</t>
    <rPh sb="1" eb="3">
      <t>ジョウキン</t>
    </rPh>
    <rPh sb="3" eb="5">
      <t>カンサン</t>
    </rPh>
    <phoneticPr fontId="10"/>
  </si>
  <si>
    <t>職員合計
（④+⑥）</t>
    <rPh sb="0" eb="2">
      <t>ショクイン</t>
    </rPh>
    <rPh sb="2" eb="4">
      <t>ゴウケイ</t>
    </rPh>
    <phoneticPr fontId="10"/>
  </si>
  <si>
    <t>介護職員（EPA含む）</t>
    <rPh sb="8" eb="9">
      <t>フク</t>
    </rPh>
    <phoneticPr fontId="10"/>
  </si>
  <si>
    <t>上記の内、介護福祉士資格者</t>
    <rPh sb="0" eb="2">
      <t>ジョウキ</t>
    </rPh>
    <phoneticPr fontId="10"/>
  </si>
  <si>
    <t>看護職員</t>
    <phoneticPr fontId="10"/>
  </si>
  <si>
    <t>理学療法士・作業療法士
言語聴覚士</t>
    <rPh sb="0" eb="2">
      <t>リガク</t>
    </rPh>
    <rPh sb="2" eb="5">
      <t>リョウホウシ</t>
    </rPh>
    <rPh sb="6" eb="8">
      <t>サギョウ</t>
    </rPh>
    <rPh sb="8" eb="11">
      <t>リョウホウシ</t>
    </rPh>
    <rPh sb="12" eb="17">
      <t>ゲンゴチョウカクシ</t>
    </rPh>
    <phoneticPr fontId="10"/>
  </si>
  <si>
    <t>調理職員　※1</t>
    <phoneticPr fontId="10"/>
  </si>
  <si>
    <t>その他（事務職員等）※2</t>
    <phoneticPr fontId="10"/>
  </si>
  <si>
    <r>
      <rPr>
        <b/>
        <u/>
        <sz val="11"/>
        <color indexed="8"/>
        <rFont val="ＭＳ Ｐ明朝"/>
        <family val="1"/>
        <charset val="128"/>
      </rPr>
      <t>派遣調理職員（給食委託）</t>
    </r>
    <r>
      <rPr>
        <sz val="11"/>
        <color theme="1"/>
        <rFont val="ＭＳ Ｐ明朝"/>
        <family val="1"/>
        <charset val="128"/>
      </rPr>
      <t>を含む場合は、「派遣委託職員」の「調理職員」欄にご記入ください。</t>
    </r>
    <rPh sb="7" eb="9">
      <t>キュウショク</t>
    </rPh>
    <rPh sb="9" eb="11">
      <t>イタク</t>
    </rPh>
    <phoneticPr fontId="10"/>
  </si>
  <si>
    <t>円</t>
    <rPh sb="0" eb="1">
      <t>エン</t>
    </rPh>
    <phoneticPr fontId="10"/>
  </si>
  <si>
    <t>1年未満</t>
    <rPh sb="1" eb="2">
      <t>ネン</t>
    </rPh>
    <rPh sb="2" eb="4">
      <t>ミマン</t>
    </rPh>
    <phoneticPr fontId="10"/>
  </si>
  <si>
    <t>2年未満</t>
    <rPh sb="1" eb="2">
      <t>ネン</t>
    </rPh>
    <rPh sb="2" eb="4">
      <t>ミマン</t>
    </rPh>
    <phoneticPr fontId="10"/>
  </si>
  <si>
    <t>3年未満</t>
    <rPh sb="1" eb="2">
      <t>ネン</t>
    </rPh>
    <rPh sb="2" eb="4">
      <t>ミマン</t>
    </rPh>
    <phoneticPr fontId="10"/>
  </si>
  <si>
    <t>4年未満</t>
    <rPh sb="1" eb="2">
      <t>ネン</t>
    </rPh>
    <rPh sb="2" eb="4">
      <t>ミマン</t>
    </rPh>
    <phoneticPr fontId="10"/>
  </si>
  <si>
    <t>5年未満</t>
    <rPh sb="1" eb="2">
      <t>ネン</t>
    </rPh>
    <rPh sb="2" eb="4">
      <t>ミマン</t>
    </rPh>
    <phoneticPr fontId="10"/>
  </si>
  <si>
    <t>10年以上</t>
    <rPh sb="2" eb="5">
      <t>ネンイジョウ</t>
    </rPh>
    <phoneticPr fontId="10"/>
  </si>
  <si>
    <t>名</t>
    <rPh sb="0" eb="1">
      <t>メイ</t>
    </rPh>
    <phoneticPr fontId="10"/>
  </si>
  <si>
    <t>男性職員</t>
    <rPh sb="0" eb="2">
      <t>ダンセイ</t>
    </rPh>
    <rPh sb="2" eb="4">
      <t>ショクイン</t>
    </rPh>
    <phoneticPr fontId="10"/>
  </si>
  <si>
    <t>女性職員</t>
    <rPh sb="0" eb="2">
      <t>ジョセイ</t>
    </rPh>
    <rPh sb="2" eb="4">
      <t>ショクイン</t>
    </rPh>
    <phoneticPr fontId="10"/>
  </si>
  <si>
    <t>看護職</t>
    <rPh sb="0" eb="3">
      <t>カンゴショク</t>
    </rPh>
    <phoneticPr fontId="10"/>
  </si>
  <si>
    <t>正規（常勤）</t>
    <rPh sb="0" eb="2">
      <t>セイキ</t>
    </rPh>
    <rPh sb="3" eb="5">
      <t>ジョウキン</t>
    </rPh>
    <phoneticPr fontId="10"/>
  </si>
  <si>
    <t>非正規（非常勤）</t>
    <rPh sb="0" eb="3">
      <t>ヒセイキ</t>
    </rPh>
    <rPh sb="4" eb="7">
      <t>ヒジョウキン</t>
    </rPh>
    <phoneticPr fontId="10"/>
  </si>
  <si>
    <t>勤続年数</t>
    <rPh sb="0" eb="2">
      <t>キンゾク</t>
    </rPh>
    <rPh sb="2" eb="4">
      <t>ネンスウ</t>
    </rPh>
    <phoneticPr fontId="10"/>
  </si>
  <si>
    <t>勤続年数</t>
    <rPh sb="0" eb="4">
      <t>キンゾクネンスウ</t>
    </rPh>
    <phoneticPr fontId="10"/>
  </si>
  <si>
    <t>年齢</t>
    <rPh sb="0" eb="2">
      <t>ネンレイ</t>
    </rPh>
    <phoneticPr fontId="10"/>
  </si>
  <si>
    <t>歳</t>
    <rPh sb="0" eb="1">
      <t>サイ</t>
    </rPh>
    <phoneticPr fontId="10"/>
  </si>
  <si>
    <t>●</t>
    <phoneticPr fontId="10"/>
  </si>
  <si>
    <t>諸手当合計は月給に占める手当の総合計金額を記載し、その内、看護職のみに支給される「職務手当」相当額（「職務手当」に該当する手当の支給がない場合は「資格手当」相当額）をそれぞれ記入してください。</t>
    <rPh sb="0" eb="3">
      <t>ショテアテ</t>
    </rPh>
    <rPh sb="3" eb="5">
      <t>ゴウケイ</t>
    </rPh>
    <rPh sb="6" eb="8">
      <t>ゲッキュウ</t>
    </rPh>
    <rPh sb="9" eb="10">
      <t>シ</t>
    </rPh>
    <rPh sb="12" eb="14">
      <t>テアテ</t>
    </rPh>
    <rPh sb="15" eb="16">
      <t>ソウ</t>
    </rPh>
    <rPh sb="16" eb="18">
      <t>ゴウケイ</t>
    </rPh>
    <rPh sb="18" eb="20">
      <t>キンガク</t>
    </rPh>
    <rPh sb="21" eb="23">
      <t>キサイ</t>
    </rPh>
    <rPh sb="27" eb="28">
      <t>ウチ</t>
    </rPh>
    <rPh sb="29" eb="31">
      <t>カンゴ</t>
    </rPh>
    <rPh sb="31" eb="32">
      <t>ショク</t>
    </rPh>
    <rPh sb="35" eb="37">
      <t>シキュウ</t>
    </rPh>
    <rPh sb="41" eb="43">
      <t>ショクム</t>
    </rPh>
    <rPh sb="43" eb="45">
      <t>テアテ</t>
    </rPh>
    <rPh sb="46" eb="48">
      <t>ソウトウ</t>
    </rPh>
    <rPh sb="48" eb="49">
      <t>ガク</t>
    </rPh>
    <rPh sb="51" eb="53">
      <t>ショクム</t>
    </rPh>
    <rPh sb="53" eb="55">
      <t>テアテ</t>
    </rPh>
    <rPh sb="57" eb="59">
      <t>ガイトウ</t>
    </rPh>
    <rPh sb="61" eb="63">
      <t>テアテ</t>
    </rPh>
    <rPh sb="64" eb="66">
      <t>シキュウ</t>
    </rPh>
    <rPh sb="69" eb="71">
      <t>バアイ</t>
    </rPh>
    <rPh sb="73" eb="75">
      <t>シカク</t>
    </rPh>
    <rPh sb="75" eb="77">
      <t>テアテ</t>
    </rPh>
    <rPh sb="78" eb="80">
      <t>ソウトウ</t>
    </rPh>
    <rPh sb="80" eb="81">
      <t>ガク</t>
    </rPh>
    <rPh sb="87" eb="89">
      <t>キニュウ</t>
    </rPh>
    <phoneticPr fontId="10"/>
  </si>
  <si>
    <t>（名）</t>
    <rPh sb="1" eb="2">
      <t>メイ</t>
    </rPh>
    <rPh sb="2" eb="3">
      <t>タンメイ</t>
    </rPh>
    <phoneticPr fontId="10"/>
  </si>
  <si>
    <t>合計人数</t>
    <rPh sb="0" eb="2">
      <t>ゴウケイ</t>
    </rPh>
    <rPh sb="2" eb="4">
      <t>ニンズウ</t>
    </rPh>
    <phoneticPr fontId="10"/>
  </si>
  <si>
    <t>在宅復帰</t>
    <rPh sb="0" eb="2">
      <t>ザイタク</t>
    </rPh>
    <rPh sb="2" eb="4">
      <t>フッキ</t>
    </rPh>
    <phoneticPr fontId="10"/>
  </si>
  <si>
    <t>その他</t>
    <rPh sb="2" eb="3">
      <t>タ</t>
    </rPh>
    <phoneticPr fontId="10"/>
  </si>
  <si>
    <t>(名）</t>
    <rPh sb="1" eb="2">
      <t>ナ</t>
    </rPh>
    <rPh sb="2" eb="3">
      <t>タンメイ</t>
    </rPh>
    <phoneticPr fontId="10"/>
  </si>
  <si>
    <t>①基本給</t>
    <phoneticPr fontId="10"/>
  </si>
  <si>
    <t>②諸手当　※1</t>
    <phoneticPr fontId="10"/>
  </si>
  <si>
    <t>合計（①+②）</t>
    <rPh sb="0" eb="2">
      <t>ゴウケイ</t>
    </rPh>
    <phoneticPr fontId="10"/>
  </si>
  <si>
    <t>①本給</t>
    <phoneticPr fontId="10"/>
  </si>
  <si>
    <t>③内、職務手当（資格手当）</t>
    <rPh sb="1" eb="2">
      <t>ウチ</t>
    </rPh>
    <rPh sb="3" eb="5">
      <t>ショクム</t>
    </rPh>
    <rPh sb="5" eb="7">
      <t>テアテ</t>
    </rPh>
    <rPh sb="8" eb="10">
      <t>シカク</t>
    </rPh>
    <rPh sb="10" eb="12">
      <t>テアテ</t>
    </rPh>
    <phoneticPr fontId="10"/>
  </si>
  <si>
    <t>（円）</t>
    <rPh sb="1" eb="2">
      <t>エン</t>
    </rPh>
    <phoneticPr fontId="10"/>
  </si>
  <si>
    <t>記入上の注意点</t>
    <rPh sb="0" eb="2">
      <t>キニュウ</t>
    </rPh>
    <rPh sb="2" eb="3">
      <t>ジョウ</t>
    </rPh>
    <rPh sb="4" eb="7">
      <t>チュウイテン</t>
    </rPh>
    <phoneticPr fontId="10"/>
  </si>
  <si>
    <t>介護保険事業収益</t>
    <rPh sb="0" eb="2">
      <t>カイゴ</t>
    </rPh>
    <rPh sb="2" eb="4">
      <t>ホケン</t>
    </rPh>
    <rPh sb="4" eb="6">
      <t>ジギョウ</t>
    </rPh>
    <rPh sb="6" eb="8">
      <t>シュウエキ</t>
    </rPh>
    <phoneticPr fontId="10"/>
  </si>
  <si>
    <t>　施設介護料収益</t>
    <rPh sb="1" eb="3">
      <t>シセツ</t>
    </rPh>
    <rPh sb="3" eb="5">
      <t>カイゴ</t>
    </rPh>
    <rPh sb="5" eb="6">
      <t>リョウ</t>
    </rPh>
    <rPh sb="6" eb="8">
      <t>シュウエキ</t>
    </rPh>
    <phoneticPr fontId="10"/>
  </si>
  <si>
    <t>　居宅介護料収益</t>
    <rPh sb="1" eb="3">
      <t>キョタク</t>
    </rPh>
    <rPh sb="3" eb="5">
      <t>カイゴ</t>
    </rPh>
    <rPh sb="5" eb="6">
      <t>リョウ</t>
    </rPh>
    <rPh sb="6" eb="8">
      <t>シュウエキ</t>
    </rPh>
    <phoneticPr fontId="10"/>
  </si>
  <si>
    <t>　地域密着型介護料収益</t>
    <rPh sb="1" eb="3">
      <t>チイキ</t>
    </rPh>
    <rPh sb="3" eb="5">
      <t>ミッチャク</t>
    </rPh>
    <rPh sb="5" eb="6">
      <t>ガタ</t>
    </rPh>
    <rPh sb="6" eb="8">
      <t>カイゴ</t>
    </rPh>
    <rPh sb="8" eb="9">
      <t>リョウ</t>
    </rPh>
    <rPh sb="9" eb="11">
      <t>シュウエキ</t>
    </rPh>
    <phoneticPr fontId="10"/>
  </si>
  <si>
    <t>　居宅介護支援介護料収益</t>
    <rPh sb="1" eb="3">
      <t>キョタク</t>
    </rPh>
    <rPh sb="3" eb="5">
      <t>カイゴ</t>
    </rPh>
    <rPh sb="5" eb="7">
      <t>シエン</t>
    </rPh>
    <rPh sb="7" eb="9">
      <t>カイゴ</t>
    </rPh>
    <rPh sb="9" eb="10">
      <t>リョウ</t>
    </rPh>
    <rPh sb="10" eb="12">
      <t>シュウエキ</t>
    </rPh>
    <phoneticPr fontId="10"/>
  </si>
  <si>
    <t>　利用者等利用料収益</t>
    <rPh sb="1" eb="5">
      <t>リヨウシャナド</t>
    </rPh>
    <rPh sb="5" eb="7">
      <t>リヨウ</t>
    </rPh>
    <rPh sb="7" eb="8">
      <t>リョウ</t>
    </rPh>
    <rPh sb="8" eb="10">
      <t>シュウエキ</t>
    </rPh>
    <phoneticPr fontId="10"/>
  </si>
  <si>
    <t>　その他の事業収益</t>
    <rPh sb="3" eb="4">
      <t>タ</t>
    </rPh>
    <rPh sb="5" eb="7">
      <t>ジギョウ</t>
    </rPh>
    <rPh sb="7" eb="9">
      <t>シュウエキ</t>
    </rPh>
    <phoneticPr fontId="10"/>
  </si>
  <si>
    <t>　　補助金事業収益</t>
    <rPh sb="2" eb="5">
      <t>ホジョキン</t>
    </rPh>
    <rPh sb="5" eb="7">
      <t>ジギョウ</t>
    </rPh>
    <rPh sb="7" eb="9">
      <t>シュウエキ</t>
    </rPh>
    <phoneticPr fontId="10"/>
  </si>
  <si>
    <t>　　市町村特別事業収益</t>
    <rPh sb="2" eb="5">
      <t>シチョウソン</t>
    </rPh>
    <rPh sb="5" eb="7">
      <t>トクベツ</t>
    </rPh>
    <rPh sb="7" eb="9">
      <t>ジギョウ</t>
    </rPh>
    <rPh sb="9" eb="11">
      <t>シュウエキ</t>
    </rPh>
    <phoneticPr fontId="10"/>
  </si>
  <si>
    <t>　　受託事業収益</t>
    <rPh sb="2" eb="4">
      <t>ジュタク</t>
    </rPh>
    <rPh sb="4" eb="6">
      <t>ジギョウ</t>
    </rPh>
    <rPh sb="6" eb="8">
      <t>シュウエキ</t>
    </rPh>
    <phoneticPr fontId="10"/>
  </si>
  <si>
    <t>　　その他の事業収益</t>
    <rPh sb="4" eb="5">
      <t>タ</t>
    </rPh>
    <rPh sb="6" eb="8">
      <t>ジギョウ</t>
    </rPh>
    <rPh sb="8" eb="10">
      <t>シュウエキ</t>
    </rPh>
    <phoneticPr fontId="10"/>
  </si>
  <si>
    <t>経常経費寄付金収益</t>
    <rPh sb="0" eb="2">
      <t>ケイジョウ</t>
    </rPh>
    <rPh sb="2" eb="4">
      <t>ケイヒ</t>
    </rPh>
    <rPh sb="4" eb="7">
      <t>キフキン</t>
    </rPh>
    <rPh sb="7" eb="9">
      <t>シュウエキ</t>
    </rPh>
    <phoneticPr fontId="10"/>
  </si>
  <si>
    <t>その他の収益</t>
    <rPh sb="2" eb="3">
      <t>タ</t>
    </rPh>
    <rPh sb="4" eb="6">
      <t>シュウエキ</t>
    </rPh>
    <phoneticPr fontId="10"/>
  </si>
  <si>
    <t>サービス活動収益計</t>
    <rPh sb="4" eb="6">
      <t>カツドウ</t>
    </rPh>
    <rPh sb="6" eb="8">
      <t>シュウエキ</t>
    </rPh>
    <rPh sb="8" eb="9">
      <t>ケイ</t>
    </rPh>
    <phoneticPr fontId="10"/>
  </si>
  <si>
    <t>人件費</t>
    <rPh sb="0" eb="3">
      <t>ジンケンヒ</t>
    </rPh>
    <phoneticPr fontId="10"/>
  </si>
  <si>
    <t>　派遣職員費</t>
    <rPh sb="1" eb="3">
      <t>ハケン</t>
    </rPh>
    <rPh sb="3" eb="5">
      <t>ショクイン</t>
    </rPh>
    <rPh sb="5" eb="6">
      <t>ヒ</t>
    </rPh>
    <phoneticPr fontId="10"/>
  </si>
  <si>
    <t>事業費</t>
    <rPh sb="0" eb="3">
      <t>ジギョウヒ</t>
    </rPh>
    <phoneticPr fontId="10"/>
  </si>
  <si>
    <t>　給食費</t>
    <rPh sb="1" eb="4">
      <t>キュウショクヒ</t>
    </rPh>
    <phoneticPr fontId="10"/>
  </si>
  <si>
    <t>　水道光熱費</t>
    <rPh sb="1" eb="3">
      <t>スイドウ</t>
    </rPh>
    <rPh sb="3" eb="6">
      <t>コウネツヒ</t>
    </rPh>
    <phoneticPr fontId="10"/>
  </si>
  <si>
    <t>事務費</t>
    <rPh sb="0" eb="3">
      <t>ジムヒ</t>
    </rPh>
    <phoneticPr fontId="10"/>
  </si>
  <si>
    <t>　福利厚生費</t>
    <rPh sb="1" eb="3">
      <t>フクリ</t>
    </rPh>
    <rPh sb="3" eb="6">
      <t>コウセイヒ</t>
    </rPh>
    <phoneticPr fontId="10"/>
  </si>
  <si>
    <t>　業務委託費</t>
    <rPh sb="1" eb="3">
      <t>ギョウム</t>
    </rPh>
    <rPh sb="3" eb="5">
      <t>イタク</t>
    </rPh>
    <rPh sb="5" eb="6">
      <t>ヒ</t>
    </rPh>
    <phoneticPr fontId="10"/>
  </si>
  <si>
    <t>　保守料</t>
    <rPh sb="1" eb="3">
      <t>ホシュ</t>
    </rPh>
    <rPh sb="3" eb="4">
      <t>リョウ</t>
    </rPh>
    <phoneticPr fontId="10"/>
  </si>
  <si>
    <t>利用者負担軽減額</t>
    <rPh sb="0" eb="3">
      <t>リヨウシャ</t>
    </rPh>
    <rPh sb="3" eb="5">
      <t>フタン</t>
    </rPh>
    <rPh sb="5" eb="7">
      <t>ケイゲン</t>
    </rPh>
    <rPh sb="7" eb="8">
      <t>ガク</t>
    </rPh>
    <phoneticPr fontId="10"/>
  </si>
  <si>
    <t>減価償却費</t>
    <rPh sb="0" eb="2">
      <t>ゲンカ</t>
    </rPh>
    <rPh sb="2" eb="4">
      <t>ショウキャク</t>
    </rPh>
    <rPh sb="4" eb="5">
      <t>ヒ</t>
    </rPh>
    <phoneticPr fontId="10"/>
  </si>
  <si>
    <t>サービス活動費用計</t>
    <rPh sb="4" eb="6">
      <t>カツドウ</t>
    </rPh>
    <rPh sb="6" eb="8">
      <t>ヒヨウ</t>
    </rPh>
    <rPh sb="8" eb="9">
      <t>ケイ</t>
    </rPh>
    <phoneticPr fontId="10"/>
  </si>
  <si>
    <t>サービス活動増減差額</t>
    <rPh sb="4" eb="6">
      <t>カツドウ</t>
    </rPh>
    <rPh sb="6" eb="8">
      <t>ゾウゲン</t>
    </rPh>
    <rPh sb="8" eb="10">
      <t>サガク</t>
    </rPh>
    <phoneticPr fontId="10"/>
  </si>
  <si>
    <t>貸借対照表</t>
    <rPh sb="0" eb="2">
      <t>タイシャク</t>
    </rPh>
    <rPh sb="2" eb="5">
      <t>タイショウヒョウ</t>
    </rPh>
    <phoneticPr fontId="10"/>
  </si>
  <si>
    <t>貸借作成単位</t>
    <rPh sb="0" eb="2">
      <t>タイシャク</t>
    </rPh>
    <rPh sb="2" eb="4">
      <t>サクセイ</t>
    </rPh>
    <rPh sb="4" eb="6">
      <t>タンイ</t>
    </rPh>
    <phoneticPr fontId="10"/>
  </si>
  <si>
    <t>　　流動資産</t>
    <rPh sb="2" eb="4">
      <t>リュウドウ</t>
    </rPh>
    <rPh sb="4" eb="6">
      <t>シサン</t>
    </rPh>
    <phoneticPr fontId="10"/>
  </si>
  <si>
    <t>　　　現金預金</t>
    <rPh sb="3" eb="5">
      <t>ゲンキン</t>
    </rPh>
    <rPh sb="5" eb="7">
      <t>ヨキン</t>
    </rPh>
    <phoneticPr fontId="10"/>
  </si>
  <si>
    <t>　　　有価証券</t>
    <rPh sb="3" eb="5">
      <t>ユウカ</t>
    </rPh>
    <rPh sb="5" eb="7">
      <t>ショウケン</t>
    </rPh>
    <phoneticPr fontId="10"/>
  </si>
  <si>
    <t>　　　未収金</t>
    <rPh sb="3" eb="6">
      <t>ミシュウキン</t>
    </rPh>
    <phoneticPr fontId="10"/>
  </si>
  <si>
    <t>　　　他会計区分貸付金</t>
    <rPh sb="3" eb="4">
      <t>タ</t>
    </rPh>
    <rPh sb="4" eb="6">
      <t>カイケイ</t>
    </rPh>
    <rPh sb="6" eb="8">
      <t>クブン</t>
    </rPh>
    <rPh sb="8" eb="10">
      <t>カシツケ</t>
    </rPh>
    <rPh sb="10" eb="11">
      <t>キン</t>
    </rPh>
    <phoneticPr fontId="10"/>
  </si>
  <si>
    <t>　　　会計区分外貸付金</t>
    <rPh sb="3" eb="5">
      <t>カイケイ</t>
    </rPh>
    <rPh sb="5" eb="7">
      <t>クブン</t>
    </rPh>
    <rPh sb="7" eb="8">
      <t>ガイ</t>
    </rPh>
    <rPh sb="8" eb="10">
      <t>カシツケ</t>
    </rPh>
    <rPh sb="10" eb="11">
      <t>キン</t>
    </rPh>
    <phoneticPr fontId="10"/>
  </si>
  <si>
    <t>　　　その他の流動資産</t>
    <rPh sb="5" eb="6">
      <t>タ</t>
    </rPh>
    <rPh sb="7" eb="9">
      <t>リュウドウ</t>
    </rPh>
    <rPh sb="9" eb="11">
      <t>シサン</t>
    </rPh>
    <phoneticPr fontId="10"/>
  </si>
  <si>
    <t>　　固定資産</t>
    <rPh sb="2" eb="4">
      <t>コテイ</t>
    </rPh>
    <rPh sb="4" eb="6">
      <t>シサン</t>
    </rPh>
    <phoneticPr fontId="10"/>
  </si>
  <si>
    <t>　　　基本財産</t>
    <rPh sb="3" eb="5">
      <t>キホン</t>
    </rPh>
    <rPh sb="5" eb="7">
      <t>ザイサン</t>
    </rPh>
    <phoneticPr fontId="10"/>
  </si>
  <si>
    <t>　　　その他の固定資産</t>
    <rPh sb="5" eb="6">
      <t>タ</t>
    </rPh>
    <rPh sb="7" eb="9">
      <t>コテイ</t>
    </rPh>
    <rPh sb="9" eb="11">
      <t>シサン</t>
    </rPh>
    <phoneticPr fontId="10"/>
  </si>
  <si>
    <t>　　流動負債</t>
    <rPh sb="2" eb="4">
      <t>リュウドウ</t>
    </rPh>
    <rPh sb="4" eb="6">
      <t>フサイ</t>
    </rPh>
    <phoneticPr fontId="10"/>
  </si>
  <si>
    <t>　　　短期運営資金借入金</t>
    <rPh sb="3" eb="5">
      <t>タンキ</t>
    </rPh>
    <rPh sb="5" eb="7">
      <t>ウンエイ</t>
    </rPh>
    <rPh sb="7" eb="9">
      <t>シキン</t>
    </rPh>
    <rPh sb="9" eb="11">
      <t>カリイレ</t>
    </rPh>
    <rPh sb="11" eb="12">
      <t>キン</t>
    </rPh>
    <phoneticPr fontId="10"/>
  </si>
  <si>
    <t>　　固定負債</t>
    <rPh sb="2" eb="4">
      <t>コテイ</t>
    </rPh>
    <rPh sb="4" eb="6">
      <t>フサイ</t>
    </rPh>
    <phoneticPr fontId="10"/>
  </si>
  <si>
    <t>　　　設備資金借入金</t>
    <rPh sb="3" eb="5">
      <t>セツビ</t>
    </rPh>
    <rPh sb="5" eb="7">
      <t>シキン</t>
    </rPh>
    <rPh sb="7" eb="9">
      <t>カリイレ</t>
    </rPh>
    <rPh sb="9" eb="10">
      <t>キン</t>
    </rPh>
    <phoneticPr fontId="10"/>
  </si>
  <si>
    <t>　　　長期運営資金借入金</t>
    <rPh sb="3" eb="5">
      <t>チョウキ</t>
    </rPh>
    <rPh sb="5" eb="7">
      <t>ウンエイ</t>
    </rPh>
    <rPh sb="7" eb="9">
      <t>シキン</t>
    </rPh>
    <rPh sb="9" eb="11">
      <t>カリイレ</t>
    </rPh>
    <rPh sb="11" eb="12">
      <t>キン</t>
    </rPh>
    <phoneticPr fontId="10"/>
  </si>
  <si>
    <t>　　　退職給与引当金</t>
    <rPh sb="3" eb="5">
      <t>タイショク</t>
    </rPh>
    <rPh sb="5" eb="7">
      <t>キュウヨ</t>
    </rPh>
    <rPh sb="7" eb="9">
      <t>ヒキアテ</t>
    </rPh>
    <rPh sb="9" eb="10">
      <t>キン</t>
    </rPh>
    <phoneticPr fontId="10"/>
  </si>
  <si>
    <t>　　純資産</t>
    <rPh sb="2" eb="5">
      <t>ジュンシサン</t>
    </rPh>
    <phoneticPr fontId="10"/>
  </si>
  <si>
    <t>　　　基本金</t>
    <rPh sb="3" eb="5">
      <t>キホン</t>
    </rPh>
    <rPh sb="5" eb="6">
      <t>キン</t>
    </rPh>
    <phoneticPr fontId="10"/>
  </si>
  <si>
    <t>　　　国庫補助金等特別積立金</t>
    <rPh sb="3" eb="5">
      <t>コッコ</t>
    </rPh>
    <rPh sb="5" eb="9">
      <t>ホジョキンナド</t>
    </rPh>
    <rPh sb="9" eb="11">
      <t>トクベツ</t>
    </rPh>
    <rPh sb="11" eb="13">
      <t>ツミタテ</t>
    </rPh>
    <rPh sb="13" eb="14">
      <t>キン</t>
    </rPh>
    <phoneticPr fontId="10"/>
  </si>
  <si>
    <t>　　　その他の積立金</t>
    <rPh sb="5" eb="6">
      <t>タ</t>
    </rPh>
    <rPh sb="7" eb="9">
      <t>ツミタテ</t>
    </rPh>
    <rPh sb="9" eb="10">
      <t>キン</t>
    </rPh>
    <phoneticPr fontId="10"/>
  </si>
  <si>
    <t>　　　次期繰越活動収支差額</t>
    <rPh sb="3" eb="5">
      <t>ジキ</t>
    </rPh>
    <rPh sb="5" eb="7">
      <t>クリコシ</t>
    </rPh>
    <rPh sb="7" eb="9">
      <t>カツドウ</t>
    </rPh>
    <rPh sb="9" eb="11">
      <t>シュウシ</t>
    </rPh>
    <rPh sb="11" eb="13">
      <t>サガク</t>
    </rPh>
    <phoneticPr fontId="10"/>
  </si>
  <si>
    <t>資金収支明細書【新会計基準】</t>
    <rPh sb="0" eb="2">
      <t>シキン</t>
    </rPh>
    <rPh sb="2" eb="4">
      <t>シュウシ</t>
    </rPh>
    <rPh sb="4" eb="7">
      <t>メイサイショ</t>
    </rPh>
    <rPh sb="8" eb="13">
      <t>シンカイケイキジュン</t>
    </rPh>
    <phoneticPr fontId="10"/>
  </si>
  <si>
    <t>資金収支計算書作成単位</t>
    <rPh sb="0" eb="2">
      <t>シキン</t>
    </rPh>
    <rPh sb="2" eb="4">
      <t>シュウシ</t>
    </rPh>
    <rPh sb="4" eb="7">
      <t>ケイサンショ</t>
    </rPh>
    <rPh sb="7" eb="9">
      <t>サクセイ</t>
    </rPh>
    <rPh sb="9" eb="11">
      <t>タンイ</t>
    </rPh>
    <phoneticPr fontId="10"/>
  </si>
  <si>
    <t>介護保険事業収入</t>
    <rPh sb="0" eb="2">
      <t>カイゴ</t>
    </rPh>
    <rPh sb="2" eb="4">
      <t>ホケン</t>
    </rPh>
    <rPh sb="4" eb="6">
      <t>ジギョウ</t>
    </rPh>
    <rPh sb="6" eb="8">
      <t>シュウニュウ</t>
    </rPh>
    <phoneticPr fontId="10"/>
  </si>
  <si>
    <t>借入金利息補助金収入</t>
    <rPh sb="0" eb="2">
      <t>カリイレ</t>
    </rPh>
    <rPh sb="2" eb="3">
      <t>キン</t>
    </rPh>
    <rPh sb="3" eb="5">
      <t>リソク</t>
    </rPh>
    <rPh sb="5" eb="8">
      <t>ホジョキン</t>
    </rPh>
    <rPh sb="8" eb="10">
      <t>シュウニュウ</t>
    </rPh>
    <phoneticPr fontId="10"/>
  </si>
  <si>
    <t>経常経費寄付金収入</t>
    <rPh sb="0" eb="2">
      <t>ケイジョウ</t>
    </rPh>
    <rPh sb="2" eb="4">
      <t>ケイヒ</t>
    </rPh>
    <rPh sb="4" eb="7">
      <t>キフキン</t>
    </rPh>
    <rPh sb="7" eb="9">
      <t>シュウニュウ</t>
    </rPh>
    <phoneticPr fontId="10"/>
  </si>
  <si>
    <t>受取利息配当金収入</t>
    <rPh sb="0" eb="2">
      <t>ウケトリ</t>
    </rPh>
    <rPh sb="2" eb="4">
      <t>リソク</t>
    </rPh>
    <rPh sb="4" eb="7">
      <t>ハイトウキン</t>
    </rPh>
    <rPh sb="7" eb="9">
      <t>シュウニュウ</t>
    </rPh>
    <phoneticPr fontId="10"/>
  </si>
  <si>
    <t>その他の収入</t>
    <rPh sb="2" eb="3">
      <t>タ</t>
    </rPh>
    <rPh sb="4" eb="6">
      <t>シュウニュウ</t>
    </rPh>
    <phoneticPr fontId="10"/>
  </si>
  <si>
    <t>流動資産評価益等による資金増加額</t>
    <rPh sb="0" eb="2">
      <t>リュウドウ</t>
    </rPh>
    <rPh sb="2" eb="4">
      <t>シサン</t>
    </rPh>
    <rPh sb="4" eb="8">
      <t>ヒョウカエキナド</t>
    </rPh>
    <rPh sb="11" eb="13">
      <t>シキン</t>
    </rPh>
    <rPh sb="13" eb="15">
      <t>ゾウカ</t>
    </rPh>
    <rPh sb="15" eb="16">
      <t>ガク</t>
    </rPh>
    <phoneticPr fontId="10"/>
  </si>
  <si>
    <t>事業活動収入計</t>
    <rPh sb="0" eb="2">
      <t>ジギョウ</t>
    </rPh>
    <rPh sb="2" eb="4">
      <t>カツドウ</t>
    </rPh>
    <rPh sb="4" eb="6">
      <t>シュウニュウ</t>
    </rPh>
    <rPh sb="6" eb="7">
      <t>ケイ</t>
    </rPh>
    <phoneticPr fontId="10"/>
  </si>
  <si>
    <t>人件費支出</t>
    <rPh sb="0" eb="3">
      <t>ジンケンヒ</t>
    </rPh>
    <rPh sb="3" eb="5">
      <t>シシュツ</t>
    </rPh>
    <phoneticPr fontId="10"/>
  </si>
  <si>
    <t>事業費支出</t>
    <rPh sb="0" eb="3">
      <t>ジギョウヒ</t>
    </rPh>
    <rPh sb="3" eb="5">
      <t>シシュツ</t>
    </rPh>
    <phoneticPr fontId="10"/>
  </si>
  <si>
    <t>事務費支出</t>
    <rPh sb="0" eb="3">
      <t>ジムヒ</t>
    </rPh>
    <rPh sb="3" eb="5">
      <t>シシュツ</t>
    </rPh>
    <phoneticPr fontId="10"/>
  </si>
  <si>
    <t>支払利息支出</t>
    <rPh sb="0" eb="2">
      <t>シハライ</t>
    </rPh>
    <rPh sb="2" eb="4">
      <t>リソク</t>
    </rPh>
    <rPh sb="4" eb="6">
      <t>シシュツ</t>
    </rPh>
    <phoneticPr fontId="10"/>
  </si>
  <si>
    <t>その他の支出</t>
    <rPh sb="2" eb="3">
      <t>タ</t>
    </rPh>
    <rPh sb="4" eb="6">
      <t>シシュツ</t>
    </rPh>
    <phoneticPr fontId="10"/>
  </si>
  <si>
    <t>流動資産評価損等による資金減少額</t>
    <rPh sb="0" eb="2">
      <t>リュウドウ</t>
    </rPh>
    <rPh sb="2" eb="4">
      <t>シサン</t>
    </rPh>
    <rPh sb="4" eb="6">
      <t>ヒョウカ</t>
    </rPh>
    <rPh sb="6" eb="8">
      <t>ソンナド</t>
    </rPh>
    <rPh sb="11" eb="13">
      <t>シキン</t>
    </rPh>
    <rPh sb="13" eb="15">
      <t>ゲンショウ</t>
    </rPh>
    <rPh sb="15" eb="16">
      <t>ガク</t>
    </rPh>
    <phoneticPr fontId="10"/>
  </si>
  <si>
    <t>事業活動支出計</t>
    <rPh sb="0" eb="2">
      <t>ジギョウ</t>
    </rPh>
    <rPh sb="2" eb="4">
      <t>カツドウ</t>
    </rPh>
    <rPh sb="4" eb="6">
      <t>シシュツ</t>
    </rPh>
    <rPh sb="6" eb="7">
      <t>ケイ</t>
    </rPh>
    <phoneticPr fontId="10"/>
  </si>
  <si>
    <t>事業活動資金収支差額</t>
    <rPh sb="0" eb="2">
      <t>ジギョウ</t>
    </rPh>
    <rPh sb="2" eb="4">
      <t>カツドウ</t>
    </rPh>
    <rPh sb="4" eb="6">
      <t>シキン</t>
    </rPh>
    <rPh sb="6" eb="8">
      <t>シュウシ</t>
    </rPh>
    <rPh sb="8" eb="10">
      <t>サガク</t>
    </rPh>
    <phoneticPr fontId="10"/>
  </si>
  <si>
    <t>施設整備等収入計</t>
    <rPh sb="0" eb="2">
      <t>シセツ</t>
    </rPh>
    <rPh sb="2" eb="5">
      <t>セイビナド</t>
    </rPh>
    <rPh sb="5" eb="7">
      <t>シュウニュウ</t>
    </rPh>
    <rPh sb="7" eb="8">
      <t>ケイ</t>
    </rPh>
    <phoneticPr fontId="10"/>
  </si>
  <si>
    <t>設備資金借入金元金償還支出</t>
    <rPh sb="0" eb="2">
      <t>セツビ</t>
    </rPh>
    <rPh sb="2" eb="4">
      <t>シキン</t>
    </rPh>
    <rPh sb="4" eb="6">
      <t>カリイレ</t>
    </rPh>
    <rPh sb="6" eb="7">
      <t>キン</t>
    </rPh>
    <rPh sb="7" eb="8">
      <t>モト</t>
    </rPh>
    <rPh sb="8" eb="9">
      <t>キン</t>
    </rPh>
    <rPh sb="9" eb="11">
      <t>ショウカン</t>
    </rPh>
    <rPh sb="11" eb="13">
      <t>シシュツ</t>
    </rPh>
    <phoneticPr fontId="10"/>
  </si>
  <si>
    <t>施設整備等支出計</t>
    <rPh sb="0" eb="2">
      <t>シセツ</t>
    </rPh>
    <rPh sb="2" eb="5">
      <t>セイビナド</t>
    </rPh>
    <rPh sb="5" eb="7">
      <t>シシュツ</t>
    </rPh>
    <rPh sb="7" eb="8">
      <t>ケイ</t>
    </rPh>
    <phoneticPr fontId="10"/>
  </si>
  <si>
    <t>施設整備等資金収支差額</t>
    <rPh sb="0" eb="2">
      <t>シセツ</t>
    </rPh>
    <rPh sb="2" eb="5">
      <t>セイビナド</t>
    </rPh>
    <rPh sb="5" eb="7">
      <t>シキン</t>
    </rPh>
    <rPh sb="7" eb="9">
      <t>シュウシ</t>
    </rPh>
    <rPh sb="9" eb="11">
      <t>サガク</t>
    </rPh>
    <phoneticPr fontId="10"/>
  </si>
  <si>
    <t>その他の活動収入計</t>
    <rPh sb="2" eb="3">
      <t>タ</t>
    </rPh>
    <rPh sb="4" eb="6">
      <t>カツドウ</t>
    </rPh>
    <rPh sb="6" eb="8">
      <t>シュウニュウ</t>
    </rPh>
    <rPh sb="8" eb="9">
      <t>ケイ</t>
    </rPh>
    <phoneticPr fontId="10"/>
  </si>
  <si>
    <t>長期運営資金借入金元金償還支出</t>
    <rPh sb="0" eb="2">
      <t>チョウキ</t>
    </rPh>
    <rPh sb="2" eb="4">
      <t>ウンエイ</t>
    </rPh>
    <rPh sb="4" eb="6">
      <t>シキン</t>
    </rPh>
    <rPh sb="6" eb="8">
      <t>カリイレ</t>
    </rPh>
    <rPh sb="8" eb="9">
      <t>キン</t>
    </rPh>
    <rPh sb="9" eb="11">
      <t>モトキン</t>
    </rPh>
    <rPh sb="11" eb="13">
      <t>ショウカン</t>
    </rPh>
    <rPh sb="13" eb="15">
      <t>シシュツ</t>
    </rPh>
    <phoneticPr fontId="10"/>
  </si>
  <si>
    <t>その他の活動支出計</t>
    <rPh sb="2" eb="3">
      <t>タ</t>
    </rPh>
    <rPh sb="4" eb="6">
      <t>カツドウ</t>
    </rPh>
    <rPh sb="6" eb="8">
      <t>シシュツ</t>
    </rPh>
    <rPh sb="8" eb="9">
      <t>ケイ</t>
    </rPh>
    <phoneticPr fontId="10"/>
  </si>
  <si>
    <t>その他の活動資金収支差額</t>
    <rPh sb="2" eb="3">
      <t>タ</t>
    </rPh>
    <rPh sb="4" eb="6">
      <t>カツドウ</t>
    </rPh>
    <rPh sb="6" eb="8">
      <t>シキン</t>
    </rPh>
    <rPh sb="8" eb="10">
      <t>シュウシ</t>
    </rPh>
    <rPh sb="10" eb="12">
      <t>サガク</t>
    </rPh>
    <phoneticPr fontId="10"/>
  </si>
  <si>
    <t>当期資金収支差額合計</t>
    <rPh sb="0" eb="2">
      <t>トウキ</t>
    </rPh>
    <rPh sb="2" eb="4">
      <t>シキン</t>
    </rPh>
    <rPh sb="4" eb="6">
      <t>シュウシ</t>
    </rPh>
    <rPh sb="6" eb="8">
      <t>サガク</t>
    </rPh>
    <rPh sb="8" eb="10">
      <t>ゴウケイ</t>
    </rPh>
    <phoneticPr fontId="10"/>
  </si>
  <si>
    <t>前期未支払資金残高</t>
    <rPh sb="0" eb="2">
      <t>ゼンキ</t>
    </rPh>
    <rPh sb="2" eb="3">
      <t>ミ</t>
    </rPh>
    <rPh sb="3" eb="5">
      <t>シハライ</t>
    </rPh>
    <rPh sb="5" eb="7">
      <t>シキン</t>
    </rPh>
    <rPh sb="7" eb="9">
      <t>ザンダカ</t>
    </rPh>
    <phoneticPr fontId="10"/>
  </si>
  <si>
    <t>当期未支払資金残高</t>
    <rPh sb="0" eb="2">
      <t>トウキ</t>
    </rPh>
    <rPh sb="2" eb="3">
      <t>ミ</t>
    </rPh>
    <rPh sb="3" eb="5">
      <t>シハライ</t>
    </rPh>
    <rPh sb="5" eb="7">
      <t>シキン</t>
    </rPh>
    <rPh sb="7" eb="9">
      <t>ザンダカ</t>
    </rPh>
    <phoneticPr fontId="10"/>
  </si>
  <si>
    <r>
      <t>国庫補助金等特別積立金取崩額</t>
    </r>
    <r>
      <rPr>
        <sz val="10"/>
        <color rgb="FFFF0000"/>
        <rFont val="ＭＳ Ｐゴシック"/>
        <family val="3"/>
        <charset val="128"/>
      </rPr>
      <t>（マイナス入力しない）</t>
    </r>
    <rPh sb="0" eb="2">
      <t>コッコ</t>
    </rPh>
    <rPh sb="2" eb="5">
      <t>ホジョキン</t>
    </rPh>
    <rPh sb="5" eb="6">
      <t>ナド</t>
    </rPh>
    <rPh sb="6" eb="8">
      <t>トクベツ</t>
    </rPh>
    <rPh sb="8" eb="10">
      <t>ツミタテ</t>
    </rPh>
    <rPh sb="10" eb="11">
      <t>キン</t>
    </rPh>
    <rPh sb="11" eb="13">
      <t>トリクズ</t>
    </rPh>
    <rPh sb="13" eb="14">
      <t>ガク</t>
    </rPh>
    <rPh sb="19" eb="21">
      <t>ニュウリョク</t>
    </rPh>
    <phoneticPr fontId="10"/>
  </si>
  <si>
    <t>※資格名の選択肢</t>
    <rPh sb="5" eb="8">
      <t>センタクシ</t>
    </rPh>
    <phoneticPr fontId="10"/>
  </si>
  <si>
    <t>※資格名の選択肢</t>
    <phoneticPr fontId="10"/>
  </si>
  <si>
    <t>※資格名の選択肢</t>
    <phoneticPr fontId="10"/>
  </si>
  <si>
    <t>事業活動計算書作成単位</t>
    <rPh sb="0" eb="2">
      <t>ジギョウ</t>
    </rPh>
    <rPh sb="2" eb="4">
      <t>カツドウ</t>
    </rPh>
    <rPh sb="4" eb="7">
      <t>ケイサンショ</t>
    </rPh>
    <rPh sb="7" eb="9">
      <t>サクセイ</t>
    </rPh>
    <rPh sb="9" eb="11">
      <t>タンイ</t>
    </rPh>
    <phoneticPr fontId="10"/>
  </si>
  <si>
    <t>事業活動計算書【新会計基準】</t>
    <rPh sb="0" eb="2">
      <t>ジギョウ</t>
    </rPh>
    <rPh sb="2" eb="4">
      <t>カツドウ</t>
    </rPh>
    <rPh sb="4" eb="7">
      <t>ケイサンショ</t>
    </rPh>
    <rPh sb="8" eb="9">
      <t>シン</t>
    </rPh>
    <rPh sb="9" eb="11">
      <t>カイケイ</t>
    </rPh>
    <rPh sb="11" eb="13">
      <t>キジュン</t>
    </rPh>
    <phoneticPr fontId="10"/>
  </si>
  <si>
    <t>階</t>
    <rPh sb="0" eb="1">
      <t>カイ</t>
    </rPh>
    <phoneticPr fontId="10"/>
  </si>
  <si>
    <t>7.建物階層</t>
    <rPh sb="2" eb="4">
      <t>タテモノ</t>
    </rPh>
    <rPh sb="4" eb="6">
      <t>カイソウ</t>
    </rPh>
    <phoneticPr fontId="10"/>
  </si>
  <si>
    <t>免許区分</t>
    <rPh sb="0" eb="2">
      <t>メンキョ</t>
    </rPh>
    <rPh sb="2" eb="4">
      <t>クブン</t>
    </rPh>
    <phoneticPr fontId="10"/>
  </si>
  <si>
    <t>医師の配置状況</t>
    <rPh sb="0" eb="2">
      <t>イシ</t>
    </rPh>
    <rPh sb="3" eb="5">
      <t>ハイチ</t>
    </rPh>
    <rPh sb="5" eb="7">
      <t>ジョウキョウ</t>
    </rPh>
    <phoneticPr fontId="10"/>
  </si>
  <si>
    <t>円</t>
    <rPh sb="0" eb="1">
      <t>エン</t>
    </rPh>
    <phoneticPr fontId="10"/>
  </si>
  <si>
    <r>
      <t>※利用者負担の段階ごとの</t>
    </r>
    <r>
      <rPr>
        <b/>
        <u/>
        <sz val="11"/>
        <color indexed="8"/>
        <rFont val="ＭＳ Ｐ明朝"/>
        <family val="1"/>
        <charset val="128"/>
      </rPr>
      <t>「年間延べ人数」</t>
    </r>
    <r>
      <rPr>
        <sz val="11"/>
        <color indexed="8"/>
        <rFont val="ＭＳ Ｐ明朝"/>
        <family val="1"/>
        <charset val="128"/>
      </rPr>
      <t>を</t>
    </r>
    <r>
      <rPr>
        <sz val="11"/>
        <color theme="1"/>
        <rFont val="ＭＳ Ｐ明朝"/>
        <family val="1"/>
        <charset val="128"/>
      </rPr>
      <t>ご記入ください。</t>
    </r>
    <phoneticPr fontId="10"/>
  </si>
  <si>
    <t>以下、7区分①～⑦にご記入ください。</t>
    <phoneticPr fontId="10"/>
  </si>
  <si>
    <t>①　1年未満（勤続11か月）　</t>
    <rPh sb="4" eb="6">
      <t>ミマン</t>
    </rPh>
    <phoneticPr fontId="10"/>
  </si>
  <si>
    <t>②　1年（勤続1年～1年11か月）　</t>
    <phoneticPr fontId="10"/>
  </si>
  <si>
    <t>③　2年（勤続2年～2年11か月）　</t>
    <phoneticPr fontId="10"/>
  </si>
  <si>
    <t>④　3年（勤続3年～3年11か月）</t>
    <phoneticPr fontId="10"/>
  </si>
  <si>
    <t>⑤　4年（勤続4年～4年11か月）　</t>
    <phoneticPr fontId="10"/>
  </si>
  <si>
    <t>⑦　10年以上　</t>
    <phoneticPr fontId="10"/>
  </si>
  <si>
    <t>基本給</t>
    <rPh sb="0" eb="3">
      <t>キホンキュウ</t>
    </rPh>
    <phoneticPr fontId="10"/>
  </si>
  <si>
    <t>手当</t>
    <rPh sb="0" eb="2">
      <t>テアテ</t>
    </rPh>
    <phoneticPr fontId="10"/>
  </si>
  <si>
    <t>賞与（一時金）</t>
    <rPh sb="0" eb="2">
      <t>ショウヨ</t>
    </rPh>
    <rPh sb="3" eb="6">
      <t>イチジキン</t>
    </rPh>
    <phoneticPr fontId="10"/>
  </si>
  <si>
    <t>他職種への「介護職員処遇改善加算」相当額の支給状況について（該当する場合は「1」を選択してください）。</t>
    <rPh sb="0" eb="1">
      <t>タ</t>
    </rPh>
    <rPh sb="1" eb="3">
      <t>ショクシュ</t>
    </rPh>
    <rPh sb="6" eb="8">
      <t>カイゴ</t>
    </rPh>
    <rPh sb="8" eb="10">
      <t>ショクイン</t>
    </rPh>
    <rPh sb="10" eb="12">
      <t>ショグウ</t>
    </rPh>
    <rPh sb="12" eb="14">
      <t>カイゼン</t>
    </rPh>
    <rPh sb="14" eb="16">
      <t>カサン</t>
    </rPh>
    <rPh sb="17" eb="19">
      <t>ソウトウ</t>
    </rPh>
    <rPh sb="19" eb="20">
      <t>ガク</t>
    </rPh>
    <rPh sb="21" eb="23">
      <t>シキュウ</t>
    </rPh>
    <rPh sb="23" eb="25">
      <t>ジョウキョウ</t>
    </rPh>
    <phoneticPr fontId="10"/>
  </si>
  <si>
    <t>「介護職員処遇改善加算」とは別に、法人独自に他職種（介護職以外の専門職及び事務員等）に対する加算相当額の賃金改善の取組み状況について</t>
    <rPh sb="1" eb="3">
      <t>カイゴ</t>
    </rPh>
    <rPh sb="3" eb="5">
      <t>ショクイン</t>
    </rPh>
    <rPh sb="14" eb="15">
      <t>ベツ</t>
    </rPh>
    <rPh sb="17" eb="19">
      <t>ホウジン</t>
    </rPh>
    <rPh sb="19" eb="21">
      <t>ドクジ</t>
    </rPh>
    <rPh sb="22" eb="23">
      <t>タ</t>
    </rPh>
    <rPh sb="23" eb="25">
      <t>ショクシュ</t>
    </rPh>
    <rPh sb="43" eb="44">
      <t>タイ</t>
    </rPh>
    <rPh sb="57" eb="58">
      <t>ト</t>
    </rPh>
    <rPh sb="58" eb="59">
      <t>ク</t>
    </rPh>
    <rPh sb="60" eb="62">
      <t>ジョウキョウ</t>
    </rPh>
    <phoneticPr fontId="10"/>
  </si>
  <si>
    <t>①実施していない</t>
    <rPh sb="1" eb="3">
      <t>ジッシ</t>
    </rPh>
    <phoneticPr fontId="10"/>
  </si>
  <si>
    <t>②実施している</t>
    <rPh sb="1" eb="3">
      <t>ジッシ</t>
    </rPh>
    <phoneticPr fontId="10"/>
  </si>
  <si>
    <r>
      <rPr>
        <b/>
        <u/>
        <sz val="11"/>
        <color theme="1"/>
        <rFont val="ＭＳ Ｐ明朝"/>
        <family val="1"/>
        <charset val="128"/>
      </rPr>
      <t>「②実施している」と回答した場合、</t>
    </r>
    <r>
      <rPr>
        <sz val="11"/>
        <color theme="1"/>
        <rFont val="ＭＳ Ｐ明朝"/>
        <family val="1"/>
        <charset val="128"/>
      </rPr>
      <t>一人あたりの平均賃金改善額（月額）を回答してください※</t>
    </r>
    <rPh sb="2" eb="4">
      <t>ジッシ</t>
    </rPh>
    <rPh sb="10" eb="12">
      <t>カイトウ</t>
    </rPh>
    <rPh sb="14" eb="16">
      <t>バアイ</t>
    </rPh>
    <rPh sb="17" eb="19">
      <t>ヒトリ</t>
    </rPh>
    <rPh sb="23" eb="25">
      <t>ヘイキン</t>
    </rPh>
    <rPh sb="25" eb="27">
      <t>チンギン</t>
    </rPh>
    <rPh sb="27" eb="29">
      <t>カイゼン</t>
    </rPh>
    <rPh sb="29" eb="30">
      <t>ガク</t>
    </rPh>
    <rPh sb="31" eb="33">
      <t>ゲツガク</t>
    </rPh>
    <rPh sb="35" eb="37">
      <t>カイトウ</t>
    </rPh>
    <phoneticPr fontId="10"/>
  </si>
  <si>
    <t>※</t>
    <phoneticPr fontId="10"/>
  </si>
  <si>
    <t>一時金で支給している場合は、12か月で除した1か月相当額を回答してください。</t>
    <rPh sb="0" eb="3">
      <t>イチジキン</t>
    </rPh>
    <rPh sb="4" eb="6">
      <t>シキュウ</t>
    </rPh>
    <rPh sb="10" eb="12">
      <t>バアイ</t>
    </rPh>
    <rPh sb="17" eb="18">
      <t>ゲツ</t>
    </rPh>
    <rPh sb="19" eb="20">
      <t>ジョ</t>
    </rPh>
    <rPh sb="24" eb="25">
      <t>ゲツ</t>
    </rPh>
    <rPh sb="25" eb="27">
      <t>ソウトウ</t>
    </rPh>
    <rPh sb="27" eb="28">
      <t>ガク</t>
    </rPh>
    <rPh sb="29" eb="31">
      <t>カイトウ</t>
    </rPh>
    <phoneticPr fontId="10"/>
  </si>
  <si>
    <t>職種によって支給金額が異なる場合は、平均賃金改善額（月額）を回答してください。</t>
    <rPh sb="0" eb="2">
      <t>ショクシュ</t>
    </rPh>
    <rPh sb="6" eb="8">
      <t>シキュウ</t>
    </rPh>
    <rPh sb="8" eb="10">
      <t>キンガク</t>
    </rPh>
    <rPh sb="11" eb="12">
      <t>コト</t>
    </rPh>
    <rPh sb="14" eb="16">
      <t>バアイ</t>
    </rPh>
    <rPh sb="18" eb="20">
      <t>ヘイキン</t>
    </rPh>
    <rPh sb="20" eb="22">
      <t>チンギン</t>
    </rPh>
    <rPh sb="22" eb="24">
      <t>カイゼン</t>
    </rPh>
    <rPh sb="24" eb="25">
      <t>ガク</t>
    </rPh>
    <rPh sb="26" eb="28">
      <t>ゲツガク</t>
    </rPh>
    <rPh sb="30" eb="32">
      <t>カイトウ</t>
    </rPh>
    <phoneticPr fontId="10"/>
  </si>
  <si>
    <t>例：看護師25,000円、事務員15,000円　平均賃金改善額　20,000円</t>
    <rPh sb="0" eb="1">
      <t>レイ</t>
    </rPh>
    <rPh sb="2" eb="5">
      <t>カンゴシ</t>
    </rPh>
    <rPh sb="11" eb="12">
      <t>エン</t>
    </rPh>
    <rPh sb="13" eb="16">
      <t>ジムイン</t>
    </rPh>
    <rPh sb="22" eb="23">
      <t>エン</t>
    </rPh>
    <rPh sb="24" eb="26">
      <t>ヘイキン</t>
    </rPh>
    <rPh sb="26" eb="28">
      <t>チンギン</t>
    </rPh>
    <rPh sb="28" eb="30">
      <t>カイゼン</t>
    </rPh>
    <rPh sb="30" eb="31">
      <t>ガク</t>
    </rPh>
    <rPh sb="38" eb="39">
      <t>エン</t>
    </rPh>
    <phoneticPr fontId="10"/>
  </si>
  <si>
    <t>●</t>
    <phoneticPr fontId="10"/>
  </si>
  <si>
    <t>以下のうち、すでに満たしている要件は「1」、満たしていない要件は「2」を選択してください。</t>
    <rPh sb="0" eb="2">
      <t>イカ</t>
    </rPh>
    <rPh sb="15" eb="17">
      <t>ヨウケン</t>
    </rPh>
    <rPh sb="29" eb="31">
      <t>ヨウケン</t>
    </rPh>
    <phoneticPr fontId="10"/>
  </si>
  <si>
    <t>算定要件の状況</t>
    <rPh sb="0" eb="2">
      <t>サンテイ</t>
    </rPh>
    <rPh sb="2" eb="4">
      <t>ヨウケン</t>
    </rPh>
    <rPh sb="5" eb="7">
      <t>ジョウキョウ</t>
    </rPh>
    <phoneticPr fontId="10"/>
  </si>
  <si>
    <t>・介護福祉士の数が常勤換算方法で入所者6またはその単数を増すごとに1以上</t>
    <rPh sb="1" eb="3">
      <t>カイゴ</t>
    </rPh>
    <rPh sb="3" eb="6">
      <t>フクシシ</t>
    </rPh>
    <rPh sb="7" eb="8">
      <t>カズ</t>
    </rPh>
    <rPh sb="9" eb="11">
      <t>ジョウキン</t>
    </rPh>
    <rPh sb="11" eb="13">
      <t>カンサン</t>
    </rPh>
    <rPh sb="13" eb="15">
      <t>ホウホウ</t>
    </rPh>
    <rPh sb="16" eb="19">
      <t>ニュウショシャ</t>
    </rPh>
    <rPh sb="25" eb="27">
      <t>タンスウ</t>
    </rPh>
    <rPh sb="28" eb="29">
      <t>マ</t>
    </rPh>
    <rPh sb="34" eb="36">
      <t>イジョウ</t>
    </rPh>
    <phoneticPr fontId="10"/>
  </si>
  <si>
    <t>かつ、以下のいずれかを満たす。</t>
    <rPh sb="3" eb="5">
      <t>イカ</t>
    </rPh>
    <rPh sb="11" eb="12">
      <t>ミ</t>
    </rPh>
    <phoneticPr fontId="10"/>
  </si>
  <si>
    <t>・「新規」入所者のうち、要介護4・5の占める割合が70％以上</t>
    <rPh sb="2" eb="4">
      <t>シンキ</t>
    </rPh>
    <rPh sb="5" eb="8">
      <t>ニュウショシャ</t>
    </rPh>
    <rPh sb="12" eb="15">
      <t>ヨウカイゴ</t>
    </rPh>
    <rPh sb="19" eb="20">
      <t>シ</t>
    </rPh>
    <rPh sb="22" eb="24">
      <t>ワリアイ</t>
    </rPh>
    <rPh sb="28" eb="30">
      <t>イジョウ</t>
    </rPh>
    <phoneticPr fontId="10"/>
  </si>
  <si>
    <t>・「新規」入所者のうち、認知症日常生活自立度Ⅲ以上の占める割合が65％以上</t>
    <rPh sb="2" eb="4">
      <t>シンキ</t>
    </rPh>
    <rPh sb="5" eb="8">
      <t>ニュウショシャ</t>
    </rPh>
    <rPh sb="12" eb="15">
      <t>ニンチショウ</t>
    </rPh>
    <rPh sb="15" eb="17">
      <t>ニチジョウ</t>
    </rPh>
    <rPh sb="17" eb="19">
      <t>セイカツ</t>
    </rPh>
    <rPh sb="19" eb="22">
      <t>ジリツド</t>
    </rPh>
    <rPh sb="23" eb="25">
      <t>イジョウ</t>
    </rPh>
    <rPh sb="26" eb="27">
      <t>シ</t>
    </rPh>
    <rPh sb="29" eb="31">
      <t>ワリアイ</t>
    </rPh>
    <rPh sb="35" eb="37">
      <t>イジョウ</t>
    </rPh>
    <phoneticPr fontId="10"/>
  </si>
  <si>
    <t>・たん吸引などが必要な入所者の占める割合が15％以上</t>
    <rPh sb="3" eb="5">
      <t>キュウイン</t>
    </rPh>
    <rPh sb="8" eb="10">
      <t>ヒツヨウ</t>
    </rPh>
    <rPh sb="11" eb="14">
      <t>ニュウショシャ</t>
    </rPh>
    <rPh sb="15" eb="16">
      <t>シ</t>
    </rPh>
    <rPh sb="18" eb="20">
      <t>ワリアイ</t>
    </rPh>
    <rPh sb="24" eb="26">
      <t>イジョウ</t>
    </rPh>
    <phoneticPr fontId="10"/>
  </si>
  <si>
    <t>喀痰吸引を実施している場合、年間延べ利用者数を回答してください。</t>
    <rPh sb="0" eb="2">
      <t>カクタン</t>
    </rPh>
    <rPh sb="2" eb="4">
      <t>キュウイン</t>
    </rPh>
    <rPh sb="5" eb="7">
      <t>ジッシ</t>
    </rPh>
    <rPh sb="11" eb="13">
      <t>バアイ</t>
    </rPh>
    <rPh sb="14" eb="16">
      <t>ネンカン</t>
    </rPh>
    <rPh sb="16" eb="17">
      <t>ノ</t>
    </rPh>
    <rPh sb="18" eb="20">
      <t>リヨウ</t>
    </rPh>
    <rPh sb="20" eb="21">
      <t>シャ</t>
    </rPh>
    <rPh sb="21" eb="22">
      <t>スウ</t>
    </rPh>
    <rPh sb="23" eb="25">
      <t>カイトウ</t>
    </rPh>
    <phoneticPr fontId="10"/>
  </si>
  <si>
    <t>・看取りに関する指針を定め、入所者又は家族に対して、当該指針の内容を説明し、同意を得ている</t>
    <rPh sb="1" eb="3">
      <t>ミト</t>
    </rPh>
    <rPh sb="5" eb="6">
      <t>カン</t>
    </rPh>
    <rPh sb="8" eb="10">
      <t>シシン</t>
    </rPh>
    <rPh sb="11" eb="12">
      <t>サダ</t>
    </rPh>
    <rPh sb="14" eb="17">
      <t>ニュウショシャ</t>
    </rPh>
    <rPh sb="17" eb="18">
      <t>マタ</t>
    </rPh>
    <rPh sb="19" eb="21">
      <t>カゾク</t>
    </rPh>
    <rPh sb="22" eb="23">
      <t>タイ</t>
    </rPh>
    <rPh sb="26" eb="28">
      <t>トウガイ</t>
    </rPh>
    <rPh sb="28" eb="30">
      <t>シシン</t>
    </rPh>
    <rPh sb="31" eb="33">
      <t>ナイヨウ</t>
    </rPh>
    <rPh sb="34" eb="36">
      <t>セツメイ</t>
    </rPh>
    <rPh sb="38" eb="40">
      <t>ドウイ</t>
    </rPh>
    <rPh sb="41" eb="42">
      <t>エ</t>
    </rPh>
    <phoneticPr fontId="10"/>
  </si>
  <si>
    <t>・多職種が協議の上、看取りに関する指針の見直しを行っている</t>
    <rPh sb="1" eb="2">
      <t>タ</t>
    </rPh>
    <rPh sb="2" eb="4">
      <t>ショクシュ</t>
    </rPh>
    <rPh sb="5" eb="7">
      <t>キョウギ</t>
    </rPh>
    <rPh sb="8" eb="9">
      <t>ウエ</t>
    </rPh>
    <rPh sb="10" eb="12">
      <t>ミト</t>
    </rPh>
    <rPh sb="14" eb="15">
      <t>カン</t>
    </rPh>
    <rPh sb="17" eb="19">
      <t>シシン</t>
    </rPh>
    <rPh sb="20" eb="22">
      <t>ミナオ</t>
    </rPh>
    <rPh sb="24" eb="25">
      <t>オコナ</t>
    </rPh>
    <phoneticPr fontId="10"/>
  </si>
  <si>
    <t>・多職種が共同で作成した介護計画について、説明を受し、同意を得ている</t>
    <rPh sb="1" eb="2">
      <t>タ</t>
    </rPh>
    <rPh sb="2" eb="4">
      <t>ショクシュ</t>
    </rPh>
    <rPh sb="5" eb="7">
      <t>キョウドウ</t>
    </rPh>
    <rPh sb="8" eb="10">
      <t>サクセイ</t>
    </rPh>
    <rPh sb="12" eb="14">
      <t>カイゴ</t>
    </rPh>
    <rPh sb="14" eb="16">
      <t>ケイカク</t>
    </rPh>
    <rPh sb="21" eb="23">
      <t>セツメイ</t>
    </rPh>
    <rPh sb="24" eb="25">
      <t>ウ</t>
    </rPh>
    <rPh sb="27" eb="29">
      <t>ドウイ</t>
    </rPh>
    <rPh sb="30" eb="31">
      <t>エ</t>
    </rPh>
    <phoneticPr fontId="10"/>
  </si>
  <si>
    <t>・看取りに関する指針に基づき、利用者の状態または家族の求めなどに応じ、随時多職種の連携の下、介護記録等の記録を活用して介護を行うための説明を受け、同意した上で介護を受けている</t>
    <rPh sb="1" eb="3">
      <t>ミト</t>
    </rPh>
    <rPh sb="5" eb="6">
      <t>カン</t>
    </rPh>
    <rPh sb="8" eb="10">
      <t>シシン</t>
    </rPh>
    <rPh sb="11" eb="12">
      <t>モト</t>
    </rPh>
    <rPh sb="15" eb="18">
      <t>リヨウシャ</t>
    </rPh>
    <rPh sb="19" eb="21">
      <t>ジョウタイ</t>
    </rPh>
    <rPh sb="24" eb="26">
      <t>カゾク</t>
    </rPh>
    <rPh sb="27" eb="28">
      <t>モト</t>
    </rPh>
    <rPh sb="32" eb="33">
      <t>オウ</t>
    </rPh>
    <rPh sb="35" eb="37">
      <t>ズイジ</t>
    </rPh>
    <rPh sb="37" eb="38">
      <t>オオ</t>
    </rPh>
    <rPh sb="38" eb="40">
      <t>ショクシュ</t>
    </rPh>
    <rPh sb="41" eb="43">
      <t>レンケイ</t>
    </rPh>
    <rPh sb="44" eb="45">
      <t>シタ</t>
    </rPh>
    <rPh sb="46" eb="48">
      <t>カイゴ</t>
    </rPh>
    <rPh sb="48" eb="50">
      <t>キロク</t>
    </rPh>
    <rPh sb="50" eb="51">
      <t>ナド</t>
    </rPh>
    <rPh sb="52" eb="54">
      <t>キロク</t>
    </rPh>
    <rPh sb="55" eb="57">
      <t>カツヨウ</t>
    </rPh>
    <rPh sb="59" eb="61">
      <t>カイゴ</t>
    </rPh>
    <rPh sb="62" eb="63">
      <t>オコナ</t>
    </rPh>
    <rPh sb="67" eb="69">
      <t>セツメイ</t>
    </rPh>
    <rPh sb="70" eb="71">
      <t>ウ</t>
    </rPh>
    <rPh sb="73" eb="75">
      <t>ドウイ</t>
    </rPh>
    <rPh sb="77" eb="78">
      <t>ウエ</t>
    </rPh>
    <rPh sb="79" eb="81">
      <t>カイゴ</t>
    </rPh>
    <rPh sb="82" eb="83">
      <t>ウ</t>
    </rPh>
    <phoneticPr fontId="10"/>
  </si>
  <si>
    <t>●</t>
    <phoneticPr fontId="10"/>
  </si>
  <si>
    <t>年間給与（年間協力費）</t>
    <rPh sb="0" eb="1">
      <t>ネン</t>
    </rPh>
    <rPh sb="1" eb="2">
      <t>カン</t>
    </rPh>
    <rPh sb="2" eb="4">
      <t>キュウヨ</t>
    </rPh>
    <rPh sb="5" eb="7">
      <t>ネンカン</t>
    </rPh>
    <rPh sb="7" eb="10">
      <t>キョウリョクヒ</t>
    </rPh>
    <phoneticPr fontId="10"/>
  </si>
  <si>
    <t>・常勤正看護師1名以上、または24時間の連絡体制を確保している</t>
    <rPh sb="1" eb="3">
      <t>ジョウキン</t>
    </rPh>
    <rPh sb="3" eb="7">
      <t>セイカンゴシ</t>
    </rPh>
    <rPh sb="4" eb="7">
      <t>カンゴシ</t>
    </rPh>
    <rPh sb="8" eb="11">
      <t>メイイジョウ</t>
    </rPh>
    <rPh sb="17" eb="19">
      <t>ジカン</t>
    </rPh>
    <rPh sb="20" eb="22">
      <t>レンラク</t>
    </rPh>
    <rPh sb="22" eb="24">
      <t>タイセイ</t>
    </rPh>
    <rPh sb="25" eb="27">
      <t>カクホ</t>
    </rPh>
    <phoneticPr fontId="10"/>
  </si>
  <si>
    <t>1　派遣職員（合計）</t>
    <phoneticPr fontId="10"/>
  </si>
  <si>
    <t>③　内、その他事務等※</t>
    <rPh sb="2" eb="3">
      <t>ウチ</t>
    </rPh>
    <phoneticPr fontId="10"/>
  </si>
  <si>
    <t>※</t>
    <phoneticPr fontId="10"/>
  </si>
  <si>
    <t>）</t>
    <phoneticPr fontId="10"/>
  </si>
  <si>
    <t>その他事務等の内容（</t>
    <rPh sb="2" eb="3">
      <t>タ</t>
    </rPh>
    <rPh sb="3" eb="6">
      <t>ジムナド</t>
    </rPh>
    <rPh sb="7" eb="9">
      <t>ナイヨウ</t>
    </rPh>
    <phoneticPr fontId="10"/>
  </si>
  <si>
    <t>複数名の医師が関わっている場合は、施設で主となる医療機関の医師について回答してください。</t>
    <rPh sb="0" eb="3">
      <t>フクスウメイ</t>
    </rPh>
    <rPh sb="4" eb="6">
      <t>イシ</t>
    </rPh>
    <rPh sb="7" eb="8">
      <t>カカ</t>
    </rPh>
    <rPh sb="13" eb="15">
      <t>バアイ</t>
    </rPh>
    <rPh sb="17" eb="19">
      <t>シセツ</t>
    </rPh>
    <rPh sb="20" eb="21">
      <t>シュ</t>
    </rPh>
    <rPh sb="24" eb="26">
      <t>イリョウ</t>
    </rPh>
    <rPh sb="26" eb="28">
      <t>キカン</t>
    </rPh>
    <rPh sb="29" eb="31">
      <t>イシ</t>
    </rPh>
    <rPh sb="35" eb="37">
      <t>カイトウ</t>
    </rPh>
    <phoneticPr fontId="10"/>
  </si>
  <si>
    <t>②諸手当合計</t>
    <rPh sb="4" eb="6">
      <t>ゴウケイ</t>
    </rPh>
    <phoneticPr fontId="10"/>
  </si>
  <si>
    <t>①加算Ⅰ　②加算Ⅱ　③併算定　④無</t>
    <rPh sb="11" eb="12">
      <t>ヘイ</t>
    </rPh>
    <rPh sb="12" eb="14">
      <t>サンテイ</t>
    </rPh>
    <phoneticPr fontId="10"/>
  </si>
  <si>
    <t>●</t>
    <phoneticPr fontId="10"/>
  </si>
  <si>
    <t>●</t>
    <phoneticPr fontId="10"/>
  </si>
  <si>
    <t>名</t>
    <rPh sb="0" eb="1">
      <t>メイ</t>
    </rPh>
    <phoneticPr fontId="10"/>
  </si>
  <si>
    <t>）</t>
    <phoneticPr fontId="10"/>
  </si>
  <si>
    <t>①受け入れが保留となった方</t>
    <rPh sb="1" eb="2">
      <t>ウ</t>
    </rPh>
    <rPh sb="3" eb="4">
      <t>イ</t>
    </rPh>
    <rPh sb="6" eb="8">
      <t>ホリュウ</t>
    </rPh>
    <rPh sb="12" eb="13">
      <t>カタ</t>
    </rPh>
    <phoneticPr fontId="10"/>
  </si>
  <si>
    <t>②施設側から受け入れを断った方</t>
    <rPh sb="1" eb="3">
      <t>シセツ</t>
    </rPh>
    <rPh sb="3" eb="4">
      <t>ガワ</t>
    </rPh>
    <rPh sb="6" eb="7">
      <t>ウ</t>
    </rPh>
    <rPh sb="8" eb="9">
      <t>イ</t>
    </rPh>
    <rPh sb="11" eb="12">
      <t>コトワ</t>
    </rPh>
    <rPh sb="14" eb="15">
      <t>カタ</t>
    </rPh>
    <phoneticPr fontId="10"/>
  </si>
  <si>
    <t>②の内、受け入れを断った主な理由（</t>
    <rPh sb="2" eb="3">
      <t>ウチ</t>
    </rPh>
    <rPh sb="4" eb="5">
      <t>ウ</t>
    </rPh>
    <rPh sb="6" eb="7">
      <t>イ</t>
    </rPh>
    <rPh sb="9" eb="10">
      <t>コトワ</t>
    </rPh>
    <rPh sb="12" eb="13">
      <t>オモ</t>
    </rPh>
    <rPh sb="14" eb="16">
      <t>リユウ</t>
    </rPh>
    <phoneticPr fontId="10"/>
  </si>
  <si>
    <t>入所希望の利用者（待機者）がいない</t>
    <rPh sb="0" eb="2">
      <t>ニュウショ</t>
    </rPh>
    <rPh sb="2" eb="4">
      <t>キボウ</t>
    </rPh>
    <rPh sb="5" eb="8">
      <t>リヨウシャ</t>
    </rPh>
    <rPh sb="9" eb="12">
      <t>タイキシャ</t>
    </rPh>
    <phoneticPr fontId="10"/>
  </si>
  <si>
    <t>空床となっている主な理由ごとの年間延べ人数をご記入ください。</t>
    <rPh sb="0" eb="2">
      <t>クウショウ</t>
    </rPh>
    <rPh sb="8" eb="9">
      <t>オモ</t>
    </rPh>
    <rPh sb="10" eb="12">
      <t>リユウ</t>
    </rPh>
    <rPh sb="15" eb="17">
      <t>ネンカン</t>
    </rPh>
    <rPh sb="17" eb="18">
      <t>ノ</t>
    </rPh>
    <rPh sb="19" eb="21">
      <t>ニンズウ</t>
    </rPh>
    <rPh sb="23" eb="25">
      <t>キニュウ</t>
    </rPh>
    <phoneticPr fontId="10"/>
  </si>
  <si>
    <t>利用者3名が30日入院しているため居室を確保している場合、3名×30日=90名と回答してください。</t>
    <rPh sb="0" eb="3">
      <t>リヨウシャ</t>
    </rPh>
    <rPh sb="4" eb="5">
      <t>メイ</t>
    </rPh>
    <rPh sb="8" eb="9">
      <t>ニチ</t>
    </rPh>
    <rPh sb="9" eb="11">
      <t>ニュウイン</t>
    </rPh>
    <rPh sb="17" eb="19">
      <t>キョシツ</t>
    </rPh>
    <rPh sb="20" eb="22">
      <t>カクホ</t>
    </rPh>
    <rPh sb="26" eb="28">
      <t>バアイ</t>
    </rPh>
    <rPh sb="30" eb="31">
      <t>メイ</t>
    </rPh>
    <rPh sb="34" eb="35">
      <t>ニチ</t>
    </rPh>
    <rPh sb="38" eb="39">
      <t>メイ</t>
    </rPh>
    <rPh sb="40" eb="42">
      <t>カイトウ</t>
    </rPh>
    <phoneticPr fontId="10"/>
  </si>
  <si>
    <t>入院している利用者のため居室を確保している</t>
    <rPh sb="0" eb="2">
      <t>ニュウイン</t>
    </rPh>
    <rPh sb="6" eb="9">
      <t>リヨウシャ</t>
    </rPh>
    <rPh sb="12" eb="14">
      <t>キョシツ</t>
    </rPh>
    <rPh sb="15" eb="17">
      <t>カクホ</t>
    </rPh>
    <phoneticPr fontId="10"/>
  </si>
  <si>
    <t>入所の予定はあるが、まだ入所していない</t>
    <rPh sb="0" eb="2">
      <t>ニュウショ</t>
    </rPh>
    <rPh sb="3" eb="5">
      <t>ヨテイ</t>
    </rPh>
    <rPh sb="12" eb="14">
      <t>ニュウショ</t>
    </rPh>
    <phoneticPr fontId="10"/>
  </si>
  <si>
    <t>保険者が利用者負担軽減制度（国・市・施設で1/3ずつ金額負担）を実施していますが、</t>
    <rPh sb="0" eb="2">
      <t>ホケン</t>
    </rPh>
    <rPh sb="2" eb="3">
      <t>シャ</t>
    </rPh>
    <rPh sb="4" eb="6">
      <t>リヨウ</t>
    </rPh>
    <rPh sb="6" eb="7">
      <t>シャ</t>
    </rPh>
    <rPh sb="7" eb="9">
      <t>フタン</t>
    </rPh>
    <rPh sb="9" eb="11">
      <t>ケイゲン</t>
    </rPh>
    <rPh sb="14" eb="15">
      <t>クニ</t>
    </rPh>
    <rPh sb="16" eb="17">
      <t>シ</t>
    </rPh>
    <rPh sb="18" eb="20">
      <t>シセツ</t>
    </rPh>
    <rPh sb="26" eb="28">
      <t>キンガク</t>
    </rPh>
    <rPh sb="28" eb="30">
      <t>フタン</t>
    </rPh>
    <rPh sb="32" eb="34">
      <t>ジッシ</t>
    </rPh>
    <phoneticPr fontId="10"/>
  </si>
  <si>
    <t>②保険者の公的な負担軽減制度以外に、法人独自の負担軽減制度（全額法人負担）を実施している場合、
 　対象者の年間延べ人数と年間軽減総額を回答してください。</t>
    <rPh sb="1" eb="3">
      <t>ホケン</t>
    </rPh>
    <rPh sb="3" eb="4">
      <t>シャ</t>
    </rPh>
    <rPh sb="5" eb="7">
      <t>コウテキ</t>
    </rPh>
    <rPh sb="8" eb="10">
      <t>フタン</t>
    </rPh>
    <rPh sb="10" eb="12">
      <t>ケイゲン</t>
    </rPh>
    <rPh sb="12" eb="14">
      <t>セイド</t>
    </rPh>
    <rPh sb="14" eb="16">
      <t>イガイ</t>
    </rPh>
    <rPh sb="18" eb="20">
      <t>ホウジン</t>
    </rPh>
    <rPh sb="20" eb="22">
      <t>ドクジ</t>
    </rPh>
    <rPh sb="23" eb="25">
      <t>フタン</t>
    </rPh>
    <rPh sb="25" eb="27">
      <t>ケイゲン</t>
    </rPh>
    <rPh sb="27" eb="29">
      <t>セイド</t>
    </rPh>
    <rPh sb="30" eb="32">
      <t>ゼンガク</t>
    </rPh>
    <rPh sb="32" eb="34">
      <t>ホウジン</t>
    </rPh>
    <rPh sb="34" eb="36">
      <t>フタン</t>
    </rPh>
    <rPh sb="38" eb="40">
      <t>ジッシ</t>
    </rPh>
    <rPh sb="44" eb="46">
      <t>バアイ</t>
    </rPh>
    <rPh sb="50" eb="53">
      <t>タイショウシャ</t>
    </rPh>
    <rPh sb="54" eb="56">
      <t>ネンカン</t>
    </rPh>
    <rPh sb="56" eb="57">
      <t>ノ</t>
    </rPh>
    <rPh sb="58" eb="60">
      <t>ニンズウ</t>
    </rPh>
    <rPh sb="60" eb="61">
      <t>ニンズウ</t>
    </rPh>
    <rPh sb="61" eb="63">
      <t>ネンカン</t>
    </rPh>
    <rPh sb="63" eb="65">
      <t>ケイゲン</t>
    </rPh>
    <rPh sb="65" eb="67">
      <t>ソウガク</t>
    </rPh>
    <rPh sb="68" eb="70">
      <t>カイトウ</t>
    </rPh>
    <phoneticPr fontId="10"/>
  </si>
  <si>
    <t>【正規職員・非正規職員について】</t>
    <phoneticPr fontId="10"/>
  </si>
  <si>
    <t>雇用関係あり</t>
  </si>
  <si>
    <t>雇用関係なし</t>
  </si>
  <si>
    <t>労働契約期間</t>
  </si>
  <si>
    <t>派遣職員
※5</t>
    <phoneticPr fontId="10"/>
  </si>
  <si>
    <t>定めなし</t>
  </si>
  <si>
    <t>定めあり</t>
  </si>
  <si>
    <t>所定労働時間</t>
  </si>
  <si>
    <t>通常
（フルタイム）</t>
    <phoneticPr fontId="10"/>
  </si>
  <si>
    <t>正規職員
※1</t>
    <phoneticPr fontId="10"/>
  </si>
  <si>
    <t>有期契約職員
（非正規職員）
※3</t>
    <rPh sb="8" eb="9">
      <t>ヒ</t>
    </rPh>
    <rPh sb="9" eb="11">
      <t>セイキ</t>
    </rPh>
    <rPh sb="11" eb="13">
      <t>ショクイン</t>
    </rPh>
    <phoneticPr fontId="10"/>
  </si>
  <si>
    <t>（通常より）
短い</t>
    <phoneticPr fontId="10"/>
  </si>
  <si>
    <t>短時間正規職員
※2</t>
    <phoneticPr fontId="10"/>
  </si>
  <si>
    <t>短時間有期契約職員
（短時間非正規職員）
※4</t>
    <rPh sb="11" eb="14">
      <t>タンジカン</t>
    </rPh>
    <rPh sb="14" eb="15">
      <t>ヒ</t>
    </rPh>
    <rPh sb="15" eb="17">
      <t>セイキ</t>
    </rPh>
    <rPh sb="17" eb="19">
      <t>ショクイン</t>
    </rPh>
    <phoneticPr fontId="10"/>
  </si>
  <si>
    <t>●</t>
    <phoneticPr fontId="10"/>
  </si>
  <si>
    <t>正規職員とは、労働契約期間の定めのない職員（※1，2）</t>
    <phoneticPr fontId="10"/>
  </si>
  <si>
    <t>非正規職員とは、労働契約期間の定めのある職員（※3，4）</t>
    <rPh sb="0" eb="1">
      <t>ヒ</t>
    </rPh>
    <phoneticPr fontId="10"/>
  </si>
  <si>
    <t>労働契約期間が毎年自動的に更新される職員についても、非正規職員とします。</t>
    <rPh sb="0" eb="2">
      <t>ロウドウ</t>
    </rPh>
    <rPh sb="2" eb="4">
      <t>ケイヤク</t>
    </rPh>
    <rPh sb="4" eb="6">
      <t>キカン</t>
    </rPh>
    <rPh sb="7" eb="9">
      <t>マイトシ</t>
    </rPh>
    <rPh sb="9" eb="11">
      <t>ジドウ</t>
    </rPh>
    <rPh sb="11" eb="12">
      <t>テキ</t>
    </rPh>
    <rPh sb="13" eb="15">
      <t>コウシン</t>
    </rPh>
    <rPh sb="18" eb="20">
      <t>ショクイン</t>
    </rPh>
    <rPh sb="26" eb="27">
      <t>ヒ</t>
    </rPh>
    <rPh sb="27" eb="29">
      <t>セイキ</t>
    </rPh>
    <rPh sb="29" eb="31">
      <t>ショクイン</t>
    </rPh>
    <phoneticPr fontId="10"/>
  </si>
  <si>
    <t>派遣職員とは、雇用関係のない職員（※5）</t>
    <phoneticPr fontId="10"/>
  </si>
  <si>
    <r>
      <t>この「管理職」の定義は、あくまでも</t>
    </r>
    <r>
      <rPr>
        <u/>
        <sz val="11"/>
        <color indexed="8"/>
        <rFont val="ＭＳ Ｐ明朝"/>
        <family val="1"/>
        <charset val="128"/>
      </rPr>
      <t>本調査における調査対象を統一するための定義</t>
    </r>
    <r>
      <rPr>
        <sz val="11"/>
        <color theme="1"/>
        <rFont val="ＭＳ Ｐ明朝"/>
        <family val="1"/>
        <charset val="128"/>
      </rPr>
      <t>です。</t>
    </r>
    <phoneticPr fontId="10"/>
  </si>
  <si>
    <t>定義</t>
  </si>
  <si>
    <t>要件1</t>
  </si>
  <si>
    <t>要件2</t>
  </si>
  <si>
    <t>要件3</t>
  </si>
  <si>
    <t>右記の要件のうち、
（1）管理職
いずれかの要件を満たすもの
（2）一般職
いずれにも概要しないもの</t>
    <phoneticPr fontId="10"/>
  </si>
  <si>
    <t>２名以上の職員を管理する立場にある</t>
  </si>
  <si>
    <t>組織管理上の役割に応じた名称が与えられている
例）
・施設長
・副施設長
・課長
・主任、副主任
・フロアリーダー　等
※ユニットリーダーは含まず。</t>
    <rPh sb="33" eb="37">
      <t>フクシセツチョウ</t>
    </rPh>
    <rPh sb="39" eb="41">
      <t>カチョウ</t>
    </rPh>
    <rPh sb="43" eb="45">
      <t>シュニン</t>
    </rPh>
    <rPh sb="46" eb="49">
      <t>フクシュニン</t>
    </rPh>
    <rPh sb="59" eb="60">
      <t>ナド</t>
    </rPh>
    <phoneticPr fontId="10"/>
  </si>
  <si>
    <t>組織管理上の役割に応じた報酬を受けている
例）
・役職・役付手当
・課長、主任、リーダー手当
・役職に応じた調整手当等</t>
    <phoneticPr fontId="10"/>
  </si>
  <si>
    <t>◇提出方法</t>
    <rPh sb="1" eb="3">
      <t>テイシュツ</t>
    </rPh>
    <rPh sb="3" eb="5">
      <t>ホウホウ</t>
    </rPh>
    <phoneticPr fontId="10"/>
  </si>
  <si>
    <t>施設基本項目調査票</t>
    <rPh sb="0" eb="2">
      <t>シセツ</t>
    </rPh>
    <rPh sb="2" eb="4">
      <t>キホン</t>
    </rPh>
    <rPh sb="4" eb="6">
      <t>コウモク</t>
    </rPh>
    <rPh sb="6" eb="9">
      <t>チョウサヒョウ</t>
    </rPh>
    <phoneticPr fontId="10"/>
  </si>
  <si>
    <t>提出形態【Ａ】（調査票①・決算書①）</t>
    <rPh sb="0" eb="2">
      <t>テイシュツ</t>
    </rPh>
    <rPh sb="2" eb="4">
      <t>ケイタイ</t>
    </rPh>
    <rPh sb="8" eb="11">
      <t>チョウサヒョウ</t>
    </rPh>
    <rPh sb="13" eb="16">
      <t>ケッサンショ</t>
    </rPh>
    <phoneticPr fontId="10"/>
  </si>
  <si>
    <t>提出形態</t>
    <rPh sb="0" eb="2">
      <t>テイシュツ</t>
    </rPh>
    <rPh sb="2" eb="4">
      <t>ケイタイ</t>
    </rPh>
    <phoneticPr fontId="10"/>
  </si>
  <si>
    <t>提出形態【Ａ】</t>
    <rPh sb="0" eb="2">
      <t>テイシュツ</t>
    </rPh>
    <rPh sb="2" eb="4">
      <t>ケイタイ</t>
    </rPh>
    <phoneticPr fontId="10"/>
  </si>
  <si>
    <t>◇ご提出いただく資料について</t>
    <rPh sb="8" eb="10">
      <t>シリョウ</t>
    </rPh>
    <phoneticPr fontId="10"/>
  </si>
  <si>
    <t>1.施設基本項目調査票（本紙）</t>
  </si>
  <si>
    <t>　拠点区分別事業活動明細書</t>
  </si>
  <si>
    <t>　拠点区分別資金収支明細書</t>
  </si>
  <si>
    <t>4.貸借対照表</t>
  </si>
  <si>
    <t>15.保険者独自及び法人独自の利用者負担額軽減制度　</t>
    <rPh sb="3" eb="6">
      <t>ホケンシャ</t>
    </rPh>
    <rPh sb="8" eb="9">
      <t>オヨ</t>
    </rPh>
    <rPh sb="10" eb="12">
      <t>ホウジン</t>
    </rPh>
    <rPh sb="12" eb="14">
      <t>ドクジ</t>
    </rPh>
    <phoneticPr fontId="10"/>
  </si>
  <si>
    <t>対象サービスの「①特養・短期入所」、「②特養のみ」以外の「③対象サービスを含む拠点で作成」、または「④対象サービス以外を含め法人全体で作成」でご提出された場合、集計上、個表における「安全性」の項目に関する数値が反映されません。</t>
    <rPh sb="0" eb="2">
      <t>タイショウ</t>
    </rPh>
    <rPh sb="9" eb="11">
      <t>トクヨウ</t>
    </rPh>
    <rPh sb="12" eb="14">
      <t>タンキ</t>
    </rPh>
    <rPh sb="14" eb="16">
      <t>ニュウショ</t>
    </rPh>
    <rPh sb="20" eb="22">
      <t>トクヨウ</t>
    </rPh>
    <rPh sb="25" eb="27">
      <t>イガイ</t>
    </rPh>
    <rPh sb="96" eb="98">
      <t>コウモク</t>
    </rPh>
    <rPh sb="99" eb="100">
      <t>カン</t>
    </rPh>
    <phoneticPr fontId="10"/>
  </si>
  <si>
    <t>合計</t>
    <rPh sb="0" eb="2">
      <t>ゴウケイ</t>
    </rPh>
    <phoneticPr fontId="10"/>
  </si>
  <si>
    <t>収入</t>
    <rPh sb="0" eb="2">
      <t>シュウニュウ</t>
    </rPh>
    <phoneticPr fontId="10"/>
  </si>
  <si>
    <t>支出</t>
    <rPh sb="0" eb="2">
      <t>シシュツ</t>
    </rPh>
    <phoneticPr fontId="10"/>
  </si>
  <si>
    <t>借入金利息補助金収益</t>
    <rPh sb="0" eb="2">
      <t>カリイレ</t>
    </rPh>
    <rPh sb="2" eb="3">
      <t>キン</t>
    </rPh>
    <rPh sb="3" eb="5">
      <t>リソク</t>
    </rPh>
    <rPh sb="5" eb="8">
      <t>ホジョキン</t>
    </rPh>
    <rPh sb="8" eb="10">
      <t>シュウエキ</t>
    </rPh>
    <phoneticPr fontId="11"/>
  </si>
  <si>
    <t>サービス活動外収益計</t>
    <rPh sb="4" eb="6">
      <t>カツドウ</t>
    </rPh>
    <rPh sb="6" eb="7">
      <t>ガイ</t>
    </rPh>
    <rPh sb="7" eb="9">
      <t>シュウエキ</t>
    </rPh>
    <rPh sb="9" eb="10">
      <t>ケイ</t>
    </rPh>
    <phoneticPr fontId="11"/>
  </si>
  <si>
    <t>支払利息</t>
    <rPh sb="0" eb="2">
      <t>シハライ</t>
    </rPh>
    <rPh sb="2" eb="4">
      <t>リソク</t>
    </rPh>
    <phoneticPr fontId="11"/>
  </si>
  <si>
    <t>サービス活動外費用計</t>
    <rPh sb="4" eb="6">
      <t>カツドウ</t>
    </rPh>
    <rPh sb="6" eb="7">
      <t>ガイ</t>
    </rPh>
    <rPh sb="7" eb="9">
      <t>ヒヨウ</t>
    </rPh>
    <rPh sb="9" eb="10">
      <t>ケイ</t>
    </rPh>
    <phoneticPr fontId="11"/>
  </si>
  <si>
    <t>サービス活動外増減差額</t>
    <rPh sb="4" eb="6">
      <t>カツドウ</t>
    </rPh>
    <rPh sb="6" eb="7">
      <t>ガイ</t>
    </rPh>
    <rPh sb="7" eb="9">
      <t>ゾウゲン</t>
    </rPh>
    <rPh sb="9" eb="11">
      <t>サガク</t>
    </rPh>
    <phoneticPr fontId="11"/>
  </si>
  <si>
    <t>特別収益計</t>
    <rPh sb="0" eb="2">
      <t>トクベツ</t>
    </rPh>
    <rPh sb="2" eb="4">
      <t>シュウエキ</t>
    </rPh>
    <rPh sb="4" eb="5">
      <t>ケイ</t>
    </rPh>
    <phoneticPr fontId="11"/>
  </si>
  <si>
    <t>会計区分外繰入金支出（法人本部に帰属する経費）</t>
    <rPh sb="0" eb="2">
      <t>カイケイ</t>
    </rPh>
    <rPh sb="2" eb="4">
      <t>クブン</t>
    </rPh>
    <rPh sb="4" eb="5">
      <t>ガイ</t>
    </rPh>
    <rPh sb="5" eb="7">
      <t>クリイレ</t>
    </rPh>
    <rPh sb="7" eb="8">
      <t>キン</t>
    </rPh>
    <rPh sb="8" eb="10">
      <t>シシュツ</t>
    </rPh>
    <rPh sb="11" eb="13">
      <t>ホウジン</t>
    </rPh>
    <rPh sb="13" eb="15">
      <t>ホンブ</t>
    </rPh>
    <rPh sb="16" eb="18">
      <t>キゾク</t>
    </rPh>
    <rPh sb="20" eb="22">
      <t>ケイヒ</t>
    </rPh>
    <phoneticPr fontId="11"/>
  </si>
  <si>
    <t>特別費用計</t>
    <rPh sb="0" eb="2">
      <t>トクベツ</t>
    </rPh>
    <rPh sb="2" eb="4">
      <t>ヒヨウ</t>
    </rPh>
    <rPh sb="4" eb="5">
      <t>ケイ</t>
    </rPh>
    <phoneticPr fontId="11"/>
  </si>
  <si>
    <t>特別費用増減差額</t>
    <rPh sb="0" eb="2">
      <t>トクベツ</t>
    </rPh>
    <rPh sb="2" eb="4">
      <t>ヒヨウ</t>
    </rPh>
    <rPh sb="4" eb="6">
      <t>ゾウゲン</t>
    </rPh>
    <rPh sb="6" eb="8">
      <t>サガク</t>
    </rPh>
    <phoneticPr fontId="11"/>
  </si>
  <si>
    <t>経常活動による収支</t>
    <rPh sb="0" eb="2">
      <t>ケイジョウ</t>
    </rPh>
    <rPh sb="2" eb="4">
      <t>カツドウ</t>
    </rPh>
    <rPh sb="7" eb="9">
      <t>シュウシ</t>
    </rPh>
    <phoneticPr fontId="10"/>
  </si>
  <si>
    <t>施設整備等による収支</t>
    <rPh sb="0" eb="2">
      <t>シセツ</t>
    </rPh>
    <rPh sb="2" eb="4">
      <t>セイビ</t>
    </rPh>
    <rPh sb="4" eb="5">
      <t>ナド</t>
    </rPh>
    <rPh sb="8" eb="10">
      <t>シュウシ</t>
    </rPh>
    <phoneticPr fontId="10"/>
  </si>
  <si>
    <t>財務活動等による収支</t>
    <rPh sb="0" eb="2">
      <t>ザイム</t>
    </rPh>
    <rPh sb="2" eb="5">
      <t>カツドウナド</t>
    </rPh>
    <rPh sb="8" eb="10">
      <t>シュウシ</t>
    </rPh>
    <phoneticPr fontId="10"/>
  </si>
  <si>
    <t>※「社会福祉法人（社福）」を除いた法人名を入力してください。</t>
    <rPh sb="2" eb="4">
      <t>シャカイ</t>
    </rPh>
    <rPh sb="4" eb="6">
      <t>フクシ</t>
    </rPh>
    <rPh sb="6" eb="8">
      <t>ホウジン</t>
    </rPh>
    <rPh sb="9" eb="11">
      <t>シャフク</t>
    </rPh>
    <rPh sb="14" eb="15">
      <t>ノゾ</t>
    </rPh>
    <rPh sb="17" eb="19">
      <t>ホウジン</t>
    </rPh>
    <rPh sb="19" eb="20">
      <t>メイ</t>
    </rPh>
    <rPh sb="21" eb="23">
      <t>ニュウリョク</t>
    </rPh>
    <phoneticPr fontId="10"/>
  </si>
  <si>
    <t>実態調査における各経営指標の計算式</t>
    <rPh sb="0" eb="2">
      <t>ジッタイ</t>
    </rPh>
    <rPh sb="2" eb="4">
      <t>チョウサ</t>
    </rPh>
    <rPh sb="8" eb="11">
      <t>カクケイエイ</t>
    </rPh>
    <rPh sb="11" eb="13">
      <t>シヒョウ</t>
    </rPh>
    <rPh sb="14" eb="16">
      <t>ケイサン</t>
    </rPh>
    <rPh sb="16" eb="17">
      <t>シキ</t>
    </rPh>
    <phoneticPr fontId="10"/>
  </si>
  <si>
    <t>指標</t>
    <rPh sb="0" eb="2">
      <t>シヒョウ</t>
    </rPh>
    <phoneticPr fontId="10"/>
  </si>
  <si>
    <t>新会計基準</t>
    <rPh sb="0" eb="1">
      <t>シン</t>
    </rPh>
    <rPh sb="1" eb="3">
      <t>カイケイ</t>
    </rPh>
    <rPh sb="3" eb="5">
      <t>キジュン</t>
    </rPh>
    <phoneticPr fontId="10"/>
  </si>
  <si>
    <t>事業活動計算書　サービス区分別
（附属明細書　基準別紙4
「拠点区分事業活動明細書」）</t>
    <rPh sb="0" eb="2">
      <t>ジギョウ</t>
    </rPh>
    <rPh sb="2" eb="4">
      <t>カツドウ</t>
    </rPh>
    <rPh sb="4" eb="7">
      <t>ケイサンショ</t>
    </rPh>
    <rPh sb="12" eb="14">
      <t>クブン</t>
    </rPh>
    <rPh sb="14" eb="15">
      <t>ベツ</t>
    </rPh>
    <rPh sb="17" eb="19">
      <t>フゾク</t>
    </rPh>
    <rPh sb="19" eb="22">
      <t>メイサイショ</t>
    </rPh>
    <rPh sb="23" eb="25">
      <t>キジュン</t>
    </rPh>
    <rPh sb="25" eb="27">
      <t>ベッシ</t>
    </rPh>
    <rPh sb="30" eb="32">
      <t>キョテン</t>
    </rPh>
    <rPh sb="32" eb="34">
      <t>クブン</t>
    </rPh>
    <rPh sb="34" eb="36">
      <t>ジギョウ</t>
    </rPh>
    <rPh sb="36" eb="38">
      <t>カツドウ</t>
    </rPh>
    <rPh sb="38" eb="41">
      <t>メイサイショ</t>
    </rPh>
    <phoneticPr fontId="10"/>
  </si>
  <si>
    <t>１．収益性の指標</t>
    <rPh sb="2" eb="5">
      <t>シュウエキセイ</t>
    </rPh>
    <rPh sb="6" eb="8">
      <t>シヒョウ</t>
    </rPh>
    <phoneticPr fontId="10"/>
  </si>
  <si>
    <t>サービス活動収益</t>
    <rPh sb="6" eb="8">
      <t>シュウエキ</t>
    </rPh>
    <phoneticPr fontId="10"/>
  </si>
  <si>
    <t>①サービス活動収益＝サービス活動収益計-経常経費寄附金収益</t>
    <rPh sb="5" eb="7">
      <t>カツドウ</t>
    </rPh>
    <rPh sb="7" eb="9">
      <t>シュウエキ</t>
    </rPh>
    <rPh sb="14" eb="16">
      <t>カツドウ</t>
    </rPh>
    <rPh sb="16" eb="18">
      <t>シュウエキ</t>
    </rPh>
    <rPh sb="18" eb="19">
      <t>ケイ</t>
    </rPh>
    <rPh sb="20" eb="22">
      <t>ケイジョウ</t>
    </rPh>
    <rPh sb="22" eb="24">
      <t>ケイヒ</t>
    </rPh>
    <rPh sb="24" eb="27">
      <t>キフキン</t>
    </rPh>
    <rPh sb="27" eb="29">
      <t>シュウエキ</t>
    </rPh>
    <phoneticPr fontId="10"/>
  </si>
  <si>
    <t>内、（経常経費）補助金収益</t>
    <rPh sb="11" eb="13">
      <t>シュウエキ</t>
    </rPh>
    <phoneticPr fontId="10"/>
  </si>
  <si>
    <t>介護保険事業収益：「中区分」その他の事業収益（・「小区分」補助金事業収益）</t>
    <rPh sb="0" eb="2">
      <t>カイゴ</t>
    </rPh>
    <rPh sb="2" eb="4">
      <t>ホケン</t>
    </rPh>
    <rPh sb="4" eb="6">
      <t>ジギョウ</t>
    </rPh>
    <rPh sb="6" eb="8">
      <t>シュウエキ</t>
    </rPh>
    <rPh sb="10" eb="11">
      <t>チュウ</t>
    </rPh>
    <rPh sb="11" eb="13">
      <t>クブン</t>
    </rPh>
    <rPh sb="16" eb="17">
      <t>タ</t>
    </rPh>
    <rPh sb="18" eb="20">
      <t>ジギョウ</t>
    </rPh>
    <rPh sb="20" eb="22">
      <t>シュウエキ</t>
    </rPh>
    <rPh sb="25" eb="28">
      <t>ショウクブン</t>
    </rPh>
    <rPh sb="29" eb="32">
      <t>ホジョキン</t>
    </rPh>
    <rPh sb="32" eb="34">
      <t>ジギョウ</t>
    </rPh>
    <rPh sb="34" eb="36">
      <t>シュウエキ</t>
    </rPh>
    <phoneticPr fontId="10"/>
  </si>
  <si>
    <t>③</t>
    <phoneticPr fontId="10"/>
  </si>
  <si>
    <t>サービス活動費用</t>
    <rPh sb="6" eb="8">
      <t>ヒヨウ</t>
    </rPh>
    <phoneticPr fontId="10"/>
  </si>
  <si>
    <t>④</t>
    <phoneticPr fontId="10"/>
  </si>
  <si>
    <t>国庫補助金等特別積立金取崩額</t>
    <phoneticPr fontId="10"/>
  </si>
  <si>
    <t>サービス活動費用にマイナス計上</t>
    <rPh sb="4" eb="6">
      <t>カツドウ</t>
    </rPh>
    <rPh sb="6" eb="8">
      <t>ヒヨウ</t>
    </rPh>
    <rPh sb="13" eb="15">
      <t>ケイジョウ</t>
    </rPh>
    <phoneticPr fontId="10"/>
  </si>
  <si>
    <t>⑤</t>
    <phoneticPr fontId="10"/>
  </si>
  <si>
    <t>サービス活動増減差額</t>
    <rPh sb="6" eb="8">
      <t>ゾウゲン</t>
    </rPh>
    <rPh sb="8" eb="10">
      <t>サガク</t>
    </rPh>
    <phoneticPr fontId="10"/>
  </si>
  <si>
    <t>サービス活動増減差額＝サービス活動収益-サービス活動費用</t>
    <rPh sb="4" eb="6">
      <t>カツドウ</t>
    </rPh>
    <rPh sb="6" eb="8">
      <t>ゾウゲン</t>
    </rPh>
    <rPh sb="8" eb="10">
      <t>サガク</t>
    </rPh>
    <rPh sb="15" eb="17">
      <t>カツドウ</t>
    </rPh>
    <rPh sb="17" eb="19">
      <t>シュウエキ</t>
    </rPh>
    <rPh sb="24" eb="26">
      <t>カツドウ</t>
    </rPh>
    <rPh sb="26" eb="28">
      <t>ヒヨウ</t>
    </rPh>
    <phoneticPr fontId="10"/>
  </si>
  <si>
    <t>⑥</t>
    <phoneticPr fontId="10"/>
  </si>
  <si>
    <t>サービス活動増減差額率（％）
（収支差額率）</t>
    <rPh sb="4" eb="6">
      <t>カツドウ</t>
    </rPh>
    <rPh sb="6" eb="8">
      <t>ゾウゲン</t>
    </rPh>
    <rPh sb="8" eb="10">
      <t>サガク</t>
    </rPh>
    <rPh sb="10" eb="11">
      <t>リツ</t>
    </rPh>
    <rPh sb="20" eb="21">
      <t>リツ</t>
    </rPh>
    <phoneticPr fontId="10"/>
  </si>
  <si>
    <t>サービス活動増減差額率＝サービス活動増減差額÷サービス活動収益×100</t>
    <rPh sb="10" eb="11">
      <t>リツ</t>
    </rPh>
    <rPh sb="16" eb="18">
      <t>カツドウ</t>
    </rPh>
    <rPh sb="18" eb="20">
      <t>ゾウゲン</t>
    </rPh>
    <rPh sb="20" eb="22">
      <t>サガク</t>
    </rPh>
    <rPh sb="27" eb="29">
      <t>カツドウ</t>
    </rPh>
    <rPh sb="29" eb="31">
      <t>シュウエキ</t>
    </rPh>
    <phoneticPr fontId="10"/>
  </si>
  <si>
    <t>２．機能性の指標</t>
    <rPh sb="2" eb="5">
      <t>キノウセイ</t>
    </rPh>
    <rPh sb="6" eb="8">
      <t>シヒョウ</t>
    </rPh>
    <phoneticPr fontId="10"/>
  </si>
  <si>
    <t>1日平均利用者数（人）</t>
    <phoneticPr fontId="10"/>
  </si>
  <si>
    <t>年間利用者延べ人数÷365（施設操業日数）</t>
    <phoneticPr fontId="10"/>
  </si>
  <si>
    <t>1日当たり利用率</t>
    <phoneticPr fontId="10"/>
  </si>
  <si>
    <t>１日平均利用者数÷施設定員数</t>
    <phoneticPr fontId="10"/>
  </si>
  <si>
    <t>利用者10人当たり職員数</t>
    <phoneticPr fontId="10"/>
  </si>
  <si>
    <t>常勤換算職員数÷１日平均利用者数×10</t>
    <phoneticPr fontId="10"/>
  </si>
  <si>
    <t>利用者1人１日当たりサービス活動収益（円）</t>
    <rPh sb="14" eb="16">
      <t>カツドウ</t>
    </rPh>
    <rPh sb="16" eb="18">
      <t>シュウエキ</t>
    </rPh>
    <phoneticPr fontId="10"/>
  </si>
  <si>
    <t>サービス活動収益÷利用者延べ人数</t>
    <rPh sb="4" eb="6">
      <t>カツドウ</t>
    </rPh>
    <rPh sb="6" eb="8">
      <t>シュウエキ</t>
    </rPh>
    <phoneticPr fontId="10"/>
  </si>
  <si>
    <t>３．合理性の指標</t>
    <rPh sb="2" eb="5">
      <t>ゴウリセイ</t>
    </rPh>
    <rPh sb="6" eb="8">
      <t>シヒョウ</t>
    </rPh>
    <phoneticPr fontId="10"/>
  </si>
  <si>
    <t>人件費率</t>
    <rPh sb="0" eb="3">
      <t>ジンケンヒ</t>
    </rPh>
    <rPh sb="3" eb="4">
      <t>リツ</t>
    </rPh>
    <phoneticPr fontId="10"/>
  </si>
  <si>
    <t>（人件費+福利厚生費）÷サービス活動収益</t>
    <rPh sb="16" eb="18">
      <t>カツドウ</t>
    </rPh>
    <rPh sb="18" eb="20">
      <t>シュウエキ</t>
    </rPh>
    <phoneticPr fontId="10"/>
  </si>
  <si>
    <t>委託費率</t>
    <rPh sb="0" eb="2">
      <t>イタク</t>
    </rPh>
    <rPh sb="2" eb="3">
      <t>ヒ</t>
    </rPh>
    <rPh sb="3" eb="4">
      <t>リツ</t>
    </rPh>
    <phoneticPr fontId="10"/>
  </si>
  <si>
    <t>業務委託費÷サービス活動収益</t>
    <rPh sb="0" eb="2">
      <t>ギョウム</t>
    </rPh>
    <rPh sb="2" eb="4">
      <t>イタク</t>
    </rPh>
    <rPh sb="4" eb="5">
      <t>ヒ</t>
    </rPh>
    <rPh sb="10" eb="12">
      <t>カツドウ</t>
    </rPh>
    <rPh sb="12" eb="14">
      <t>シュウエキ</t>
    </rPh>
    <phoneticPr fontId="10"/>
  </si>
  <si>
    <t>人件費率+委託費率</t>
    <rPh sb="0" eb="3">
      <t>ジンケンヒ</t>
    </rPh>
    <rPh sb="3" eb="4">
      <t>リツ</t>
    </rPh>
    <rPh sb="5" eb="7">
      <t>イタク</t>
    </rPh>
    <rPh sb="7" eb="8">
      <t>ヒ</t>
    </rPh>
    <rPh sb="8" eb="9">
      <t>リツ</t>
    </rPh>
    <phoneticPr fontId="10"/>
  </si>
  <si>
    <t>事業費率</t>
    <rPh sb="0" eb="3">
      <t>ジギョウヒ</t>
    </rPh>
    <rPh sb="2" eb="3">
      <t>ヒ</t>
    </rPh>
    <rPh sb="3" eb="4">
      <t>リツ</t>
    </rPh>
    <phoneticPr fontId="10"/>
  </si>
  <si>
    <t>事業費÷サービス活動収益</t>
    <rPh sb="0" eb="3">
      <t>ジギョウヒ</t>
    </rPh>
    <rPh sb="8" eb="10">
      <t>カツドウ</t>
    </rPh>
    <rPh sb="10" eb="12">
      <t>シュウエキ</t>
    </rPh>
    <phoneticPr fontId="10"/>
  </si>
  <si>
    <t>事務費率</t>
    <rPh sb="0" eb="3">
      <t>ジムヒ</t>
    </rPh>
    <rPh sb="3" eb="4">
      <t>リツ</t>
    </rPh>
    <phoneticPr fontId="10"/>
  </si>
  <si>
    <t>（事務費-福利厚生費-業務委託費）÷サービス活動収益</t>
    <rPh sb="11" eb="13">
      <t>ギョウム</t>
    </rPh>
    <rPh sb="13" eb="15">
      <t>イタク</t>
    </rPh>
    <rPh sb="15" eb="16">
      <t>ヒ</t>
    </rPh>
    <rPh sb="22" eb="24">
      <t>カツドウ</t>
    </rPh>
    <rPh sb="24" eb="26">
      <t>シュウエキ</t>
    </rPh>
    <phoneticPr fontId="10"/>
  </si>
  <si>
    <t>減価償却費率</t>
    <rPh sb="0" eb="2">
      <t>ゲンカ</t>
    </rPh>
    <rPh sb="2" eb="4">
      <t>ショウキャク</t>
    </rPh>
    <rPh sb="4" eb="5">
      <t>ヒ</t>
    </rPh>
    <rPh sb="5" eb="6">
      <t>リツ</t>
    </rPh>
    <phoneticPr fontId="10"/>
  </si>
  <si>
    <t>（減価償却費-国庫補助金等特別積立金取崩額）÷サービス活動収益</t>
    <rPh sb="7" eb="9">
      <t>コッコ</t>
    </rPh>
    <rPh sb="9" eb="12">
      <t>ホジョキン</t>
    </rPh>
    <rPh sb="12" eb="13">
      <t>トウ</t>
    </rPh>
    <rPh sb="13" eb="15">
      <t>トクベツ</t>
    </rPh>
    <rPh sb="15" eb="17">
      <t>ツミタテ</t>
    </rPh>
    <rPh sb="17" eb="18">
      <t>キン</t>
    </rPh>
    <rPh sb="18" eb="20">
      <t>トリクズシ</t>
    </rPh>
    <rPh sb="20" eb="21">
      <t>ガク</t>
    </rPh>
    <rPh sb="27" eb="29">
      <t>カツドウ</t>
    </rPh>
    <rPh sb="29" eb="31">
      <t>シュウエキ</t>
    </rPh>
    <phoneticPr fontId="10"/>
  </si>
  <si>
    <t>４．生産性の指標</t>
    <rPh sb="2" eb="5">
      <t>セイサンセイ</t>
    </rPh>
    <rPh sb="6" eb="8">
      <t>シヒョウ</t>
    </rPh>
    <phoneticPr fontId="10"/>
  </si>
  <si>
    <t>職員１人当たり給与費（円/月額）</t>
    <phoneticPr fontId="10"/>
  </si>
  <si>
    <t>（人件費+福利厚生費）÷常勤換算職員数÷12ヵ月</t>
    <rPh sb="23" eb="24">
      <t>ゲツ</t>
    </rPh>
    <phoneticPr fontId="10"/>
  </si>
  <si>
    <r>
      <t>職員1人当たりサービス活動収益</t>
    </r>
    <r>
      <rPr>
        <sz val="9"/>
        <color theme="1"/>
        <rFont val="ＭＳ Ｐゴシック"/>
        <family val="3"/>
        <charset val="128"/>
        <scheme val="minor"/>
      </rPr>
      <t>（円/月額）</t>
    </r>
    <rPh sb="13" eb="15">
      <t>シュウエキ</t>
    </rPh>
    <phoneticPr fontId="10"/>
  </si>
  <si>
    <t>サービス活動収益÷常勤換算職員数÷12ヵ月</t>
    <rPh sb="4" eb="6">
      <t>カツドウ</t>
    </rPh>
    <rPh sb="6" eb="8">
      <t>シュウエキ</t>
    </rPh>
    <rPh sb="20" eb="21">
      <t>ゲツ</t>
    </rPh>
    <phoneticPr fontId="10"/>
  </si>
  <si>
    <t>労働生産性</t>
    <phoneticPr fontId="10"/>
  </si>
  <si>
    <t>【サービス活動収益-（事業費+業務委託費+減価償却費-国庫補助金等特別積立金取崩額）】÷常勤換算職員数</t>
    <rPh sb="5" eb="7">
      <t>カツドウ</t>
    </rPh>
    <rPh sb="7" eb="9">
      <t>シュウエキ</t>
    </rPh>
    <rPh sb="11" eb="14">
      <t>ジギョウヒ</t>
    </rPh>
    <rPh sb="15" eb="17">
      <t>ギョウム</t>
    </rPh>
    <rPh sb="17" eb="19">
      <t>イタク</t>
    </rPh>
    <rPh sb="19" eb="20">
      <t>ヒ</t>
    </rPh>
    <rPh sb="27" eb="29">
      <t>コッコ</t>
    </rPh>
    <rPh sb="29" eb="32">
      <t>ホジョキン</t>
    </rPh>
    <rPh sb="32" eb="33">
      <t>トウ</t>
    </rPh>
    <rPh sb="33" eb="35">
      <t>トクベツ</t>
    </rPh>
    <rPh sb="35" eb="37">
      <t>ツミタテ</t>
    </rPh>
    <rPh sb="37" eb="38">
      <t>キン</t>
    </rPh>
    <rPh sb="38" eb="40">
      <t>トリクズシ</t>
    </rPh>
    <rPh sb="40" eb="41">
      <t>ガク</t>
    </rPh>
    <phoneticPr fontId="10"/>
  </si>
  <si>
    <t>労働分配率</t>
    <phoneticPr fontId="10"/>
  </si>
  <si>
    <t>職員１人当たりの給与費÷労働生産性</t>
    <phoneticPr fontId="10"/>
  </si>
  <si>
    <t>【（人件費+福利厚生費）】÷【（サービス活動収益計-経常経費寄付金収益）-（事業費+業務委託費+減価償却費-国庫補助金等特別積立金取崩額）】×100</t>
    <rPh sb="2" eb="5">
      <t>ジンケンヒ</t>
    </rPh>
    <rPh sb="6" eb="8">
      <t>フクリ</t>
    </rPh>
    <rPh sb="8" eb="10">
      <t>コウセイ</t>
    </rPh>
    <rPh sb="10" eb="11">
      <t>ヒ</t>
    </rPh>
    <rPh sb="20" eb="22">
      <t>カツドウ</t>
    </rPh>
    <rPh sb="22" eb="24">
      <t>シュウエキ</t>
    </rPh>
    <rPh sb="24" eb="25">
      <t>ケイ</t>
    </rPh>
    <rPh sb="26" eb="28">
      <t>ケイジョウ</t>
    </rPh>
    <rPh sb="28" eb="30">
      <t>ケイヒ</t>
    </rPh>
    <rPh sb="30" eb="33">
      <t>キフキン</t>
    </rPh>
    <rPh sb="33" eb="35">
      <t>シュウエキ</t>
    </rPh>
    <rPh sb="38" eb="40">
      <t>ジギョウ</t>
    </rPh>
    <rPh sb="40" eb="41">
      <t>ヒ</t>
    </rPh>
    <rPh sb="42" eb="44">
      <t>ギョウム</t>
    </rPh>
    <rPh sb="44" eb="46">
      <t>イタク</t>
    </rPh>
    <rPh sb="46" eb="47">
      <t>ヒ</t>
    </rPh>
    <rPh sb="48" eb="50">
      <t>ゲンカ</t>
    </rPh>
    <rPh sb="50" eb="52">
      <t>ショウキャク</t>
    </rPh>
    <rPh sb="52" eb="53">
      <t>ヒ</t>
    </rPh>
    <rPh sb="54" eb="56">
      <t>コッコ</t>
    </rPh>
    <rPh sb="56" eb="59">
      <t>ホジョキン</t>
    </rPh>
    <rPh sb="59" eb="60">
      <t>トウ</t>
    </rPh>
    <rPh sb="60" eb="62">
      <t>トクベツ</t>
    </rPh>
    <rPh sb="62" eb="64">
      <t>ツミタテ</t>
    </rPh>
    <rPh sb="64" eb="65">
      <t>キン</t>
    </rPh>
    <rPh sb="65" eb="67">
      <t>トリクズシ</t>
    </rPh>
    <rPh sb="67" eb="68">
      <t>ガク</t>
    </rPh>
    <phoneticPr fontId="10"/>
  </si>
  <si>
    <t>５．安全性の指標</t>
    <rPh sb="2" eb="5">
      <t>アンゼンセイ</t>
    </rPh>
    <rPh sb="6" eb="8">
      <t>シヒョウ</t>
    </rPh>
    <phoneticPr fontId="10"/>
  </si>
  <si>
    <t>流動比率</t>
    <rPh sb="0" eb="2">
      <t>リュウドウ</t>
    </rPh>
    <rPh sb="2" eb="4">
      <t>ヒリツ</t>
    </rPh>
    <phoneticPr fontId="10"/>
  </si>
  <si>
    <t>流動資産÷流動負債×100</t>
    <rPh sb="0" eb="2">
      <t>リュウドウ</t>
    </rPh>
    <rPh sb="2" eb="4">
      <t>シサン</t>
    </rPh>
    <rPh sb="5" eb="7">
      <t>リュウドウ</t>
    </rPh>
    <rPh sb="7" eb="9">
      <t>フサイ</t>
    </rPh>
    <phoneticPr fontId="10"/>
  </si>
  <si>
    <t>固定長期適合比率</t>
    <rPh sb="0" eb="2">
      <t>コテイ</t>
    </rPh>
    <rPh sb="2" eb="4">
      <t>チョウキ</t>
    </rPh>
    <rPh sb="4" eb="6">
      <t>テキゴウ</t>
    </rPh>
    <rPh sb="6" eb="8">
      <t>ヒリツ</t>
    </rPh>
    <phoneticPr fontId="10"/>
  </si>
  <si>
    <t>固定資産÷（純資産+固定負債）×100</t>
    <rPh sb="0" eb="2">
      <t>コテイ</t>
    </rPh>
    <rPh sb="2" eb="4">
      <t>シサン</t>
    </rPh>
    <rPh sb="6" eb="9">
      <t>ジュンシサン</t>
    </rPh>
    <rPh sb="10" eb="12">
      <t>コテイ</t>
    </rPh>
    <rPh sb="12" eb="14">
      <t>フサイ</t>
    </rPh>
    <phoneticPr fontId="10"/>
  </si>
  <si>
    <t>純資産比率</t>
    <rPh sb="0" eb="3">
      <t>ジュンシサン</t>
    </rPh>
    <rPh sb="3" eb="5">
      <t>ヒリツ</t>
    </rPh>
    <phoneticPr fontId="10"/>
  </si>
  <si>
    <t>（純資産÷資産総額）×100</t>
    <rPh sb="1" eb="4">
      <t>ジュンシサン</t>
    </rPh>
    <rPh sb="5" eb="7">
      <t>シサン</t>
    </rPh>
    <rPh sb="7" eb="9">
      <t>ソウガク</t>
    </rPh>
    <phoneticPr fontId="10"/>
  </si>
  <si>
    <t>借入金償還余裕率</t>
    <rPh sb="0" eb="2">
      <t>カリイレ</t>
    </rPh>
    <rPh sb="2" eb="3">
      <t>キン</t>
    </rPh>
    <rPh sb="3" eb="5">
      <t>ショウカン</t>
    </rPh>
    <rPh sb="5" eb="7">
      <t>ヨユウ</t>
    </rPh>
    <rPh sb="7" eb="8">
      <t>リツ</t>
    </rPh>
    <phoneticPr fontId="10"/>
  </si>
  <si>
    <t>（当期資金収支差額-その他の活動資金収支差額+支払利息支出）÷（設備資金借入金元金償還支出+長期運営資金借入金元金償還支出+支払利息支出）×100</t>
    <rPh sb="1" eb="3">
      <t>トウキ</t>
    </rPh>
    <rPh sb="3" eb="5">
      <t>シキン</t>
    </rPh>
    <rPh sb="5" eb="7">
      <t>シュウシ</t>
    </rPh>
    <rPh sb="7" eb="9">
      <t>サガク</t>
    </rPh>
    <rPh sb="12" eb="13">
      <t>タ</t>
    </rPh>
    <rPh sb="14" eb="16">
      <t>カツドウ</t>
    </rPh>
    <rPh sb="16" eb="18">
      <t>シキン</t>
    </rPh>
    <rPh sb="18" eb="20">
      <t>シュウシ</t>
    </rPh>
    <rPh sb="20" eb="22">
      <t>サガク</t>
    </rPh>
    <rPh sb="23" eb="25">
      <t>シハライ</t>
    </rPh>
    <rPh sb="25" eb="27">
      <t>リソク</t>
    </rPh>
    <rPh sb="27" eb="29">
      <t>シシュツ</t>
    </rPh>
    <rPh sb="32" eb="34">
      <t>セツビ</t>
    </rPh>
    <rPh sb="34" eb="36">
      <t>シキン</t>
    </rPh>
    <rPh sb="36" eb="38">
      <t>カリイレ</t>
    </rPh>
    <rPh sb="38" eb="39">
      <t>キン</t>
    </rPh>
    <rPh sb="39" eb="41">
      <t>ガンキン</t>
    </rPh>
    <rPh sb="41" eb="43">
      <t>ショウカン</t>
    </rPh>
    <rPh sb="43" eb="45">
      <t>シシュツ</t>
    </rPh>
    <rPh sb="46" eb="48">
      <t>チョウキ</t>
    </rPh>
    <rPh sb="48" eb="50">
      <t>ウンエイ</t>
    </rPh>
    <rPh sb="50" eb="52">
      <t>シキン</t>
    </rPh>
    <rPh sb="52" eb="54">
      <t>カリイレ</t>
    </rPh>
    <rPh sb="54" eb="55">
      <t>キン</t>
    </rPh>
    <rPh sb="55" eb="57">
      <t>ガンキン</t>
    </rPh>
    <rPh sb="57" eb="59">
      <t>ショウカン</t>
    </rPh>
    <rPh sb="59" eb="61">
      <t>シシュツ</t>
    </rPh>
    <rPh sb="62" eb="64">
      <t>シハライ</t>
    </rPh>
    <rPh sb="64" eb="66">
      <t>リソク</t>
    </rPh>
    <rPh sb="66" eb="68">
      <t>シシュツ</t>
    </rPh>
    <phoneticPr fontId="10"/>
  </si>
  <si>
    <t>６．“いわゆる”「内部留保」の指標</t>
    <rPh sb="9" eb="11">
      <t>ナイブ</t>
    </rPh>
    <rPh sb="11" eb="13">
      <t>リュウホ</t>
    </rPh>
    <rPh sb="15" eb="17">
      <t>シヒョウ</t>
    </rPh>
    <phoneticPr fontId="10"/>
  </si>
  <si>
    <t>発生源内部留保</t>
    <rPh sb="0" eb="3">
      <t>ハッセイゲン</t>
    </rPh>
    <rPh sb="3" eb="5">
      <t>ナイブ</t>
    </rPh>
    <rPh sb="5" eb="7">
      <t>リュウホ</t>
    </rPh>
    <phoneticPr fontId="10"/>
  </si>
  <si>
    <t>次期繰越活動収支差額+その他積立金</t>
    <rPh sb="0" eb="2">
      <t>ジキ</t>
    </rPh>
    <rPh sb="2" eb="4">
      <t>クリコシ</t>
    </rPh>
    <rPh sb="4" eb="6">
      <t>カツドウ</t>
    </rPh>
    <rPh sb="6" eb="8">
      <t>シュウシ</t>
    </rPh>
    <rPh sb="8" eb="10">
      <t>サガク</t>
    </rPh>
    <rPh sb="13" eb="14">
      <t>タ</t>
    </rPh>
    <rPh sb="14" eb="16">
      <t>ツミタテ</t>
    </rPh>
    <rPh sb="16" eb="17">
      <t>キン</t>
    </rPh>
    <phoneticPr fontId="10"/>
  </si>
  <si>
    <t>実在内部留保</t>
    <rPh sb="0" eb="2">
      <t>ジツザイ</t>
    </rPh>
    <rPh sb="2" eb="4">
      <t>ナイブ</t>
    </rPh>
    <rPh sb="4" eb="6">
      <t>リュウホ</t>
    </rPh>
    <phoneticPr fontId="10"/>
  </si>
  <si>
    <t>現預金・現預金相当額-（流動負債+退職給与引当金）</t>
    <rPh sb="0" eb="3">
      <t>ゲンヨキン</t>
    </rPh>
    <rPh sb="4" eb="7">
      <t>ゲンヨキン</t>
    </rPh>
    <rPh sb="7" eb="9">
      <t>ソウトウ</t>
    </rPh>
    <rPh sb="9" eb="10">
      <t>ガク</t>
    </rPh>
    <rPh sb="12" eb="14">
      <t>リュウドウ</t>
    </rPh>
    <rPh sb="14" eb="16">
      <t>フサイ</t>
    </rPh>
    <rPh sb="17" eb="19">
      <t>タイショク</t>
    </rPh>
    <rPh sb="19" eb="21">
      <t>キュウヨ</t>
    </rPh>
    <rPh sb="21" eb="23">
      <t>ヒキアテ</t>
    </rPh>
    <rPh sb="23" eb="24">
      <t>キン</t>
    </rPh>
    <phoneticPr fontId="10"/>
  </si>
  <si>
    <t>経営指標
（確認用）</t>
  </si>
  <si>
    <t>川原コード</t>
    <rPh sb="0" eb="2">
      <t>カワハラ</t>
    </rPh>
    <phoneticPr fontId="10"/>
  </si>
  <si>
    <t>施　設　名</t>
    <rPh sb="0" eb="3">
      <t>シセツ</t>
    </rPh>
    <rPh sb="4" eb="5">
      <t>メイ</t>
    </rPh>
    <phoneticPr fontId="49"/>
  </si>
  <si>
    <t>７・建物階層</t>
    <rPh sb="2" eb="4">
      <t>タテモノ</t>
    </rPh>
    <rPh sb="4" eb="6">
      <t>カイソウ</t>
    </rPh>
    <phoneticPr fontId="27"/>
  </si>
  <si>
    <t>８・特養_定員数</t>
    <rPh sb="2" eb="4">
      <t>トクヨウ</t>
    </rPh>
    <phoneticPr fontId="10"/>
  </si>
  <si>
    <t>９．年間利用者延べ人数_①特養</t>
    <rPh sb="2" eb="4">
      <t>ネンカン</t>
    </rPh>
    <rPh sb="4" eb="7">
      <t>リヨウシャ</t>
    </rPh>
    <rPh sb="7" eb="8">
      <t>ノ</t>
    </rPh>
    <rPh sb="9" eb="11">
      <t>ニンズウ</t>
    </rPh>
    <rPh sb="13" eb="15">
      <t>トクヨウ</t>
    </rPh>
    <phoneticPr fontId="27"/>
  </si>
  <si>
    <t>１０・要介護度内訳　合計人数</t>
    <rPh sb="3" eb="6">
      <t>ヨウカイゴ</t>
    </rPh>
    <rPh sb="6" eb="7">
      <t>ド</t>
    </rPh>
    <rPh sb="7" eb="9">
      <t>ウチワケ</t>
    </rPh>
    <rPh sb="10" eb="12">
      <t>ゴウケイ</t>
    </rPh>
    <rPh sb="12" eb="14">
      <t>ニンズウ</t>
    </rPh>
    <phoneticPr fontId="10"/>
  </si>
  <si>
    <t>１１．認知症高齢者の日常生活自立度　合計</t>
    <rPh sb="3" eb="6">
      <t>ニンチショウ</t>
    </rPh>
    <rPh sb="6" eb="9">
      <t>コウレイシャ</t>
    </rPh>
    <rPh sb="10" eb="12">
      <t>ニチジョウ</t>
    </rPh>
    <rPh sb="12" eb="14">
      <t>セイカツ</t>
    </rPh>
    <rPh sb="14" eb="17">
      <t>ジリツド</t>
    </rPh>
    <rPh sb="18" eb="20">
      <t>ゴウケイ</t>
    </rPh>
    <phoneticPr fontId="27"/>
  </si>
  <si>
    <t>１２・利用者負担の各段階人数　合計人数</t>
    <rPh sb="3" eb="6">
      <t>リヨウシャ</t>
    </rPh>
    <rPh sb="6" eb="8">
      <t>フタン</t>
    </rPh>
    <rPh sb="9" eb="12">
      <t>カクダンカイ</t>
    </rPh>
    <rPh sb="12" eb="14">
      <t>ニンズウ</t>
    </rPh>
    <rPh sb="15" eb="17">
      <t>ゴウケイ</t>
    </rPh>
    <rPh sb="17" eb="19">
      <t>ニンズウ</t>
    </rPh>
    <phoneticPr fontId="10"/>
  </si>
  <si>
    <t>看取り（死亡）</t>
    <rPh sb="0" eb="2">
      <t>ミト</t>
    </rPh>
    <rPh sb="4" eb="6">
      <t>シボウ</t>
    </rPh>
    <phoneticPr fontId="27"/>
  </si>
  <si>
    <t>医療機関へ転院</t>
    <rPh sb="0" eb="2">
      <t>イリョウ</t>
    </rPh>
    <rPh sb="2" eb="4">
      <t>キカン</t>
    </rPh>
    <rPh sb="5" eb="7">
      <t>テンイン</t>
    </rPh>
    <phoneticPr fontId="27"/>
  </si>
  <si>
    <t>在宅復帰</t>
    <rPh sb="0" eb="2">
      <t>ザイタク</t>
    </rPh>
    <rPh sb="2" eb="4">
      <t>フッキ</t>
    </rPh>
    <phoneticPr fontId="27"/>
  </si>
  <si>
    <t>その他</t>
    <rPh sb="2" eb="3">
      <t>タ</t>
    </rPh>
    <phoneticPr fontId="27"/>
  </si>
  <si>
    <t>１４・空床の理由　入院確保</t>
    <rPh sb="3" eb="5">
      <t>クウショウ</t>
    </rPh>
    <rPh sb="6" eb="8">
      <t>リユウ</t>
    </rPh>
    <rPh sb="9" eb="11">
      <t>ニュウイン</t>
    </rPh>
    <rPh sb="11" eb="13">
      <t>カクホ</t>
    </rPh>
    <phoneticPr fontId="27"/>
  </si>
  <si>
    <t>入所予定であるが未入所</t>
    <rPh sb="0" eb="2">
      <t>ニュウショ</t>
    </rPh>
    <rPh sb="2" eb="4">
      <t>ヨテイ</t>
    </rPh>
    <rPh sb="8" eb="11">
      <t>ミニュウショ</t>
    </rPh>
    <phoneticPr fontId="27"/>
  </si>
  <si>
    <t>職員配置基準を満たすことが出来ていない</t>
    <rPh sb="0" eb="2">
      <t>ショクイン</t>
    </rPh>
    <rPh sb="2" eb="4">
      <t>ハイチ</t>
    </rPh>
    <rPh sb="4" eb="6">
      <t>キジュン</t>
    </rPh>
    <rPh sb="7" eb="8">
      <t>ミ</t>
    </rPh>
    <rPh sb="13" eb="15">
      <t>デキ</t>
    </rPh>
    <phoneticPr fontId="27"/>
  </si>
  <si>
    <t>待機者がいない</t>
    <rPh sb="0" eb="3">
      <t>タイキシャ</t>
    </rPh>
    <phoneticPr fontId="27"/>
  </si>
  <si>
    <t>要介護3</t>
    <rPh sb="0" eb="3">
      <t>ヨウカイゴ</t>
    </rPh>
    <phoneticPr fontId="27"/>
  </si>
  <si>
    <t>要介護４</t>
    <rPh sb="0" eb="3">
      <t>ヨウカイゴ</t>
    </rPh>
    <phoneticPr fontId="27"/>
  </si>
  <si>
    <t>要介護５</t>
    <rPh sb="0" eb="3">
      <t>ヨウカイゴ</t>
    </rPh>
    <phoneticPr fontId="27"/>
  </si>
  <si>
    <t>受入れ保留</t>
    <rPh sb="0" eb="2">
      <t>ウケイ</t>
    </rPh>
    <rPh sb="3" eb="5">
      <t>ホリュウ</t>
    </rPh>
    <phoneticPr fontId="27"/>
  </si>
  <si>
    <t>断った</t>
    <rPh sb="0" eb="1">
      <t>コトワ</t>
    </rPh>
    <phoneticPr fontId="27"/>
  </si>
  <si>
    <t>その理由</t>
    <rPh sb="2" eb="4">
      <t>リユウ</t>
    </rPh>
    <phoneticPr fontId="27"/>
  </si>
  <si>
    <t>１６・保険者の保険者独自及び法人独自の利用者負担額軽減制度　年間延べ人数</t>
    <rPh sb="3" eb="5">
      <t>ホケン</t>
    </rPh>
    <rPh sb="5" eb="6">
      <t>シャ</t>
    </rPh>
    <rPh sb="7" eb="9">
      <t>ホケン</t>
    </rPh>
    <rPh sb="9" eb="10">
      <t>シャ</t>
    </rPh>
    <rPh sb="10" eb="12">
      <t>ドクジ</t>
    </rPh>
    <rPh sb="12" eb="13">
      <t>オヨ</t>
    </rPh>
    <rPh sb="14" eb="16">
      <t>ホウジン</t>
    </rPh>
    <rPh sb="16" eb="18">
      <t>ドクジ</t>
    </rPh>
    <rPh sb="19" eb="22">
      <t>リヨウシャ</t>
    </rPh>
    <rPh sb="30" eb="32">
      <t>ネンカン</t>
    </rPh>
    <rPh sb="32" eb="33">
      <t>ノ</t>
    </rPh>
    <rPh sb="34" eb="36">
      <t>ニンズウ</t>
    </rPh>
    <phoneticPr fontId="10"/>
  </si>
  <si>
    <t>日常生活品費</t>
    <rPh sb="0" eb="2">
      <t>ニチジョウ</t>
    </rPh>
    <rPh sb="2" eb="4">
      <t>セイカツ</t>
    </rPh>
    <rPh sb="4" eb="5">
      <t>ヒン</t>
    </rPh>
    <rPh sb="5" eb="6">
      <t>ヒ</t>
    </rPh>
    <phoneticPr fontId="10"/>
  </si>
  <si>
    <t xml:space="preserve">１７・第4段階_食費             </t>
    <phoneticPr fontId="10"/>
  </si>
  <si>
    <t>２３．職員配置の回答基準</t>
    <rPh sb="3" eb="5">
      <t>ショクイン</t>
    </rPh>
    <rPh sb="5" eb="7">
      <t>ハイチ</t>
    </rPh>
    <rPh sb="8" eb="10">
      <t>カイトウ</t>
    </rPh>
    <rPh sb="10" eb="12">
      <t>キジュン</t>
    </rPh>
    <phoneticPr fontId="27"/>
  </si>
  <si>
    <t>２４．委託費_派遣職員_合計</t>
    <rPh sb="3" eb="5">
      <t>イタク</t>
    </rPh>
    <rPh sb="5" eb="6">
      <t>ヒ</t>
    </rPh>
    <rPh sb="7" eb="9">
      <t>ハケン</t>
    </rPh>
    <rPh sb="9" eb="11">
      <t>ショクイン</t>
    </rPh>
    <phoneticPr fontId="10"/>
  </si>
  <si>
    <t>２５．職員実人数　  介護_正規_男性_1年未満_20歳未満</t>
    <rPh sb="3" eb="5">
      <t>ショクイン</t>
    </rPh>
    <rPh sb="5" eb="6">
      <t>ジツ</t>
    </rPh>
    <rPh sb="6" eb="8">
      <t>ニンズウ</t>
    </rPh>
    <rPh sb="17" eb="19">
      <t>ダンセイ</t>
    </rPh>
    <rPh sb="21" eb="22">
      <t>ネン</t>
    </rPh>
    <rPh sb="22" eb="24">
      <t>ミマン</t>
    </rPh>
    <rPh sb="27" eb="30">
      <t>サイミマン</t>
    </rPh>
    <phoneticPr fontId="10"/>
  </si>
  <si>
    <t>　　　　　介護_正規_男性_1年未満_20代</t>
    <rPh sb="11" eb="13">
      <t>ダンセイ</t>
    </rPh>
    <rPh sb="21" eb="22">
      <t>ダイ</t>
    </rPh>
    <phoneticPr fontId="10"/>
  </si>
  <si>
    <t>　　　　　介護_正規_男性_1年未満_30代</t>
    <rPh sb="11" eb="13">
      <t>ダンセイ</t>
    </rPh>
    <rPh sb="21" eb="22">
      <t>ダイ</t>
    </rPh>
    <phoneticPr fontId="10"/>
  </si>
  <si>
    <t>　　　　　介護_正規_男性_1年未満_40代</t>
    <rPh sb="11" eb="13">
      <t>ダンセイ</t>
    </rPh>
    <rPh sb="21" eb="22">
      <t>ダイ</t>
    </rPh>
    <phoneticPr fontId="10"/>
  </si>
  <si>
    <t>　　　　　介護_正規_男性_1年未満_50代</t>
    <rPh sb="11" eb="13">
      <t>ダンセイ</t>
    </rPh>
    <rPh sb="21" eb="22">
      <t>ダイ</t>
    </rPh>
    <phoneticPr fontId="10"/>
  </si>
  <si>
    <t>　　　　　介護_正規_男性_1年未満_60代</t>
    <rPh sb="11" eb="13">
      <t>ダンセイ</t>
    </rPh>
    <rPh sb="21" eb="22">
      <t>ダイ</t>
    </rPh>
    <phoneticPr fontId="10"/>
  </si>
  <si>
    <t xml:space="preserve"> 　介護_正規_男性_1年未満_合計</t>
    <rPh sb="8" eb="10">
      <t>ダンセイ</t>
    </rPh>
    <rPh sb="16" eb="18">
      <t>ゴウケイ</t>
    </rPh>
    <phoneticPr fontId="10"/>
  </si>
  <si>
    <t>　　　　　介護_正規_男性_2年未満_20歳未満</t>
    <rPh sb="5" eb="7">
      <t>カイゴ</t>
    </rPh>
    <rPh sb="11" eb="13">
      <t>ダンセイ</t>
    </rPh>
    <rPh sb="21" eb="24">
      <t>サイミマン</t>
    </rPh>
    <phoneticPr fontId="10"/>
  </si>
  <si>
    <t>　　　　　介護_正規_男性_2年未満_20代</t>
    <rPh sb="11" eb="13">
      <t>ダンセイ</t>
    </rPh>
    <rPh sb="21" eb="22">
      <t>ダイ</t>
    </rPh>
    <phoneticPr fontId="10"/>
  </si>
  <si>
    <t>　　　　　介護_正規_男性_2年未満_30代</t>
    <rPh sb="11" eb="13">
      <t>ダンセイ</t>
    </rPh>
    <rPh sb="21" eb="22">
      <t>ダイ</t>
    </rPh>
    <phoneticPr fontId="10"/>
  </si>
  <si>
    <t>　　　　　介護_正規_男性_2年未満_40代</t>
    <rPh sb="11" eb="13">
      <t>ダンセイ</t>
    </rPh>
    <rPh sb="21" eb="22">
      <t>ダイ</t>
    </rPh>
    <phoneticPr fontId="10"/>
  </si>
  <si>
    <t>　　　　　介護_正規_男性_2年未満_50代</t>
    <rPh sb="11" eb="13">
      <t>ダンセイ</t>
    </rPh>
    <rPh sb="21" eb="22">
      <t>ダイ</t>
    </rPh>
    <phoneticPr fontId="10"/>
  </si>
  <si>
    <t>　　　　　介護_正規_男性_2年未満_60代</t>
    <rPh sb="11" eb="13">
      <t>ダンセイ</t>
    </rPh>
    <rPh sb="21" eb="22">
      <t>ダイ</t>
    </rPh>
    <phoneticPr fontId="10"/>
  </si>
  <si>
    <t xml:space="preserve"> 　介護_正規_男性_2年未満_合計</t>
    <rPh sb="8" eb="10">
      <t>ダンセイ</t>
    </rPh>
    <rPh sb="16" eb="18">
      <t>ゴウケイ</t>
    </rPh>
    <phoneticPr fontId="10"/>
  </si>
  <si>
    <t>　　　　　介護_正規_男性_3年未満_20歳未満</t>
    <rPh sb="5" eb="7">
      <t>カイゴ</t>
    </rPh>
    <rPh sb="11" eb="13">
      <t>ダンセイ</t>
    </rPh>
    <rPh sb="21" eb="24">
      <t>サイミマン</t>
    </rPh>
    <phoneticPr fontId="10"/>
  </si>
  <si>
    <t>　　　　　介護_正規_男性_3年未満_20代</t>
    <rPh sb="11" eb="13">
      <t>ダンセイ</t>
    </rPh>
    <rPh sb="21" eb="22">
      <t>ダイ</t>
    </rPh>
    <phoneticPr fontId="10"/>
  </si>
  <si>
    <t>　　　　　介護_正規_男性_3年未満_30代</t>
    <rPh sb="11" eb="13">
      <t>ダンセイ</t>
    </rPh>
    <rPh sb="21" eb="22">
      <t>ダイ</t>
    </rPh>
    <phoneticPr fontId="10"/>
  </si>
  <si>
    <t>　　　　　介護_正規_男性_3年未満_40代</t>
    <rPh sb="11" eb="13">
      <t>ダンセイ</t>
    </rPh>
    <rPh sb="21" eb="22">
      <t>ダイ</t>
    </rPh>
    <phoneticPr fontId="10"/>
  </si>
  <si>
    <t>　　　　　介護_正規_男性_3年未満_50代</t>
    <rPh sb="11" eb="13">
      <t>ダンセイ</t>
    </rPh>
    <rPh sb="21" eb="22">
      <t>ダイ</t>
    </rPh>
    <phoneticPr fontId="10"/>
  </si>
  <si>
    <t>　　　　　介護_正規_男性_3年未満_60代</t>
    <rPh sb="11" eb="13">
      <t>ダンセイ</t>
    </rPh>
    <rPh sb="21" eb="22">
      <t>ダイ</t>
    </rPh>
    <phoneticPr fontId="10"/>
  </si>
  <si>
    <t xml:space="preserve"> 　介護_正規_男性_3年未満_合計</t>
    <rPh sb="8" eb="10">
      <t>ダンセイ</t>
    </rPh>
    <rPh sb="16" eb="18">
      <t>ゴウケイ</t>
    </rPh>
    <phoneticPr fontId="10"/>
  </si>
  <si>
    <t>　　　　　介護_正規_男性_4年未満_20歳未満</t>
    <rPh sb="5" eb="7">
      <t>カイゴ</t>
    </rPh>
    <rPh sb="11" eb="13">
      <t>ダンセイ</t>
    </rPh>
    <rPh sb="21" eb="24">
      <t>サイミマン</t>
    </rPh>
    <phoneticPr fontId="10"/>
  </si>
  <si>
    <t>　　　　　介護_正規_男性_4年未満_20代</t>
    <rPh sb="11" eb="13">
      <t>ダンセイ</t>
    </rPh>
    <rPh sb="21" eb="22">
      <t>ダイ</t>
    </rPh>
    <phoneticPr fontId="10"/>
  </si>
  <si>
    <t>　　　　　介護_正規_男性_4年未満_30代</t>
    <rPh sb="11" eb="13">
      <t>ダンセイ</t>
    </rPh>
    <rPh sb="21" eb="22">
      <t>ダイ</t>
    </rPh>
    <phoneticPr fontId="10"/>
  </si>
  <si>
    <t>　　　　　介護_正規_男性_4年未満_40代</t>
    <rPh sb="11" eb="13">
      <t>ダンセイ</t>
    </rPh>
    <rPh sb="21" eb="22">
      <t>ダイ</t>
    </rPh>
    <phoneticPr fontId="10"/>
  </si>
  <si>
    <t>　　　　　介護_正規_男性_4年未満_50代</t>
    <rPh sb="11" eb="13">
      <t>ダンセイ</t>
    </rPh>
    <rPh sb="21" eb="22">
      <t>ダイ</t>
    </rPh>
    <phoneticPr fontId="10"/>
  </si>
  <si>
    <t>　　　　　介護_正規_男性_4年未満_60代</t>
    <rPh sb="11" eb="13">
      <t>ダンセイ</t>
    </rPh>
    <rPh sb="21" eb="22">
      <t>ダイ</t>
    </rPh>
    <phoneticPr fontId="10"/>
  </si>
  <si>
    <t xml:space="preserve"> 　介護_正規_男性_4年未満_合計</t>
    <rPh sb="8" eb="10">
      <t>ダンセイ</t>
    </rPh>
    <rPh sb="16" eb="18">
      <t>ゴウケイ</t>
    </rPh>
    <phoneticPr fontId="10"/>
  </si>
  <si>
    <t>　　　　　介護_正規_男性_5年未満_20歳未満</t>
    <rPh sb="5" eb="7">
      <t>カイゴ</t>
    </rPh>
    <rPh sb="11" eb="13">
      <t>ダンセイ</t>
    </rPh>
    <rPh sb="21" eb="24">
      <t>サイミマン</t>
    </rPh>
    <phoneticPr fontId="10"/>
  </si>
  <si>
    <t>　　　　　介護_正規_男性_5年未満_20代</t>
    <rPh sb="11" eb="13">
      <t>ダンセイ</t>
    </rPh>
    <rPh sb="21" eb="22">
      <t>ダイ</t>
    </rPh>
    <phoneticPr fontId="10"/>
  </si>
  <si>
    <t>　　　　　介護_正規_男性_5年未満_30代</t>
    <rPh sb="11" eb="13">
      <t>ダンセイ</t>
    </rPh>
    <rPh sb="21" eb="22">
      <t>ダイ</t>
    </rPh>
    <phoneticPr fontId="10"/>
  </si>
  <si>
    <t>　　　　　介護_正規_男性_5年未満_40代</t>
    <rPh sb="11" eb="13">
      <t>ダンセイ</t>
    </rPh>
    <rPh sb="21" eb="22">
      <t>ダイ</t>
    </rPh>
    <phoneticPr fontId="10"/>
  </si>
  <si>
    <t>　　　　　介護_正規_男性_5年未満_50代</t>
    <rPh sb="11" eb="13">
      <t>ダンセイ</t>
    </rPh>
    <rPh sb="21" eb="22">
      <t>ダイ</t>
    </rPh>
    <phoneticPr fontId="10"/>
  </si>
  <si>
    <t>　　　　　介護_正規_男性_5年未満_60代</t>
    <rPh sb="11" eb="13">
      <t>ダンセイ</t>
    </rPh>
    <rPh sb="21" eb="22">
      <t>ダイ</t>
    </rPh>
    <phoneticPr fontId="10"/>
  </si>
  <si>
    <t xml:space="preserve"> 　介護_正規_男性_5年未満_合計</t>
    <rPh sb="8" eb="10">
      <t>ダンセイ</t>
    </rPh>
    <rPh sb="16" eb="18">
      <t>ゴウケイ</t>
    </rPh>
    <phoneticPr fontId="10"/>
  </si>
  <si>
    <t>　　　　　介護_正規_男性_5～9年未満_20歳未満</t>
    <rPh sb="5" eb="7">
      <t>カイゴ</t>
    </rPh>
    <rPh sb="11" eb="13">
      <t>ダンセイ</t>
    </rPh>
    <rPh sb="23" eb="26">
      <t>サイミマン</t>
    </rPh>
    <phoneticPr fontId="10"/>
  </si>
  <si>
    <t>　　　　　介護_正規_男性_5～9年未満_20代</t>
    <rPh sb="11" eb="13">
      <t>ダンセイ</t>
    </rPh>
    <rPh sb="23" eb="24">
      <t>ダイ</t>
    </rPh>
    <phoneticPr fontId="10"/>
  </si>
  <si>
    <t>　　　　　介護_正規_男性_5～9年未満_30代</t>
    <rPh sb="11" eb="13">
      <t>ダンセイ</t>
    </rPh>
    <rPh sb="23" eb="24">
      <t>ダイ</t>
    </rPh>
    <phoneticPr fontId="10"/>
  </si>
  <si>
    <t>　　　　　介護_正規_男性_5～9年未満_40代</t>
    <rPh sb="11" eb="13">
      <t>ダンセイ</t>
    </rPh>
    <rPh sb="23" eb="24">
      <t>ダイ</t>
    </rPh>
    <phoneticPr fontId="10"/>
  </si>
  <si>
    <t>　　　　　介護_正規_男性_5～9年未満_50代</t>
    <rPh sb="11" eb="13">
      <t>ダンセイ</t>
    </rPh>
    <rPh sb="23" eb="24">
      <t>ダイ</t>
    </rPh>
    <phoneticPr fontId="10"/>
  </si>
  <si>
    <t>　　　　　介護_正規_男性_5～9年未満_60代</t>
    <rPh sb="11" eb="13">
      <t>ダンセイ</t>
    </rPh>
    <rPh sb="23" eb="24">
      <t>ダイ</t>
    </rPh>
    <phoneticPr fontId="10"/>
  </si>
  <si>
    <t xml:space="preserve"> 　介護_正規_男性_5～9年未満_合計</t>
    <rPh sb="8" eb="10">
      <t>ダンセイ</t>
    </rPh>
    <rPh sb="18" eb="20">
      <t>ゴウケイ</t>
    </rPh>
    <phoneticPr fontId="10"/>
  </si>
  <si>
    <t>　　　　　介護_正規_男性_10年以上_20歳未満</t>
    <rPh sb="5" eb="7">
      <t>カイゴ</t>
    </rPh>
    <rPh sb="11" eb="13">
      <t>ダンセイ</t>
    </rPh>
    <rPh sb="22" eb="25">
      <t>サイミマン</t>
    </rPh>
    <phoneticPr fontId="10"/>
  </si>
  <si>
    <t>　　　　　介護_正規_男性_10年以上_20代</t>
    <rPh sb="11" eb="13">
      <t>ダンセイ</t>
    </rPh>
    <rPh sb="22" eb="23">
      <t>ダイ</t>
    </rPh>
    <phoneticPr fontId="10"/>
  </si>
  <si>
    <t>　　　　　介護_正規_男性_10年以上_30代</t>
    <rPh sb="11" eb="13">
      <t>ダンセイ</t>
    </rPh>
    <rPh sb="22" eb="23">
      <t>ダイ</t>
    </rPh>
    <phoneticPr fontId="10"/>
  </si>
  <si>
    <t>　　　　　介護_正規_男性_10年以上_40代</t>
    <rPh sb="11" eb="13">
      <t>ダンセイ</t>
    </rPh>
    <rPh sb="22" eb="23">
      <t>ダイ</t>
    </rPh>
    <phoneticPr fontId="10"/>
  </si>
  <si>
    <t>　　　　　介護_正規_男性_10年以上_50代</t>
    <rPh sb="11" eb="13">
      <t>ダンセイ</t>
    </rPh>
    <rPh sb="22" eb="23">
      <t>ダイ</t>
    </rPh>
    <phoneticPr fontId="10"/>
  </si>
  <si>
    <t>　　　　　介護_正規_男性_10年以上_60代</t>
    <rPh sb="11" eb="13">
      <t>ダンセイ</t>
    </rPh>
    <rPh sb="22" eb="23">
      <t>ダイ</t>
    </rPh>
    <phoneticPr fontId="10"/>
  </si>
  <si>
    <t xml:space="preserve"> 　介護_正規_男性_10年以上_合計</t>
    <rPh sb="8" eb="10">
      <t>ダンセイ</t>
    </rPh>
    <rPh sb="17" eb="19">
      <t>ゴウケイ</t>
    </rPh>
    <phoneticPr fontId="10"/>
  </si>
  <si>
    <t>　　　　　介護_非正規_男性_1年未満_20歳未満</t>
    <rPh sb="5" eb="7">
      <t>カイゴ</t>
    </rPh>
    <rPh sb="12" eb="14">
      <t>ダンセイ</t>
    </rPh>
    <rPh sb="16" eb="17">
      <t>ネン</t>
    </rPh>
    <rPh sb="17" eb="19">
      <t>ミマン</t>
    </rPh>
    <rPh sb="22" eb="25">
      <t>サイミマン</t>
    </rPh>
    <phoneticPr fontId="10"/>
  </si>
  <si>
    <t>　　　　　介護_非正規_男性_1年未満_20代</t>
    <rPh sb="12" eb="14">
      <t>ダンセイ</t>
    </rPh>
    <rPh sb="22" eb="23">
      <t>ダイ</t>
    </rPh>
    <phoneticPr fontId="10"/>
  </si>
  <si>
    <t>　　　　　介護_非正規_男性_1年未満_30代</t>
    <rPh sb="12" eb="14">
      <t>ダンセイ</t>
    </rPh>
    <rPh sb="22" eb="23">
      <t>ダイ</t>
    </rPh>
    <phoneticPr fontId="10"/>
  </si>
  <si>
    <t>　　　　　介護_非正規_男性_1年未満_40代</t>
    <rPh sb="12" eb="14">
      <t>ダンセイ</t>
    </rPh>
    <rPh sb="22" eb="23">
      <t>ダイ</t>
    </rPh>
    <phoneticPr fontId="10"/>
  </si>
  <si>
    <t>　　　　　介護_非正規_男性_1年未満_50代</t>
    <rPh sb="12" eb="14">
      <t>ダンセイ</t>
    </rPh>
    <rPh sb="22" eb="23">
      <t>ダイ</t>
    </rPh>
    <phoneticPr fontId="10"/>
  </si>
  <si>
    <t>　　　　　介護_非正規_男性_1年未満_60代</t>
    <rPh sb="12" eb="14">
      <t>ダンセイ</t>
    </rPh>
    <rPh sb="22" eb="23">
      <t>ダイ</t>
    </rPh>
    <phoneticPr fontId="10"/>
  </si>
  <si>
    <t xml:space="preserve"> 　介護_非正規_男性_1年未満_合計</t>
    <rPh sb="9" eb="11">
      <t>ダンセイ</t>
    </rPh>
    <rPh sb="17" eb="19">
      <t>ゴウケイ</t>
    </rPh>
    <phoneticPr fontId="10"/>
  </si>
  <si>
    <t>　　　　　介護_非正規_男性_2年未満_20歳未満</t>
    <rPh sb="5" eb="7">
      <t>カイゴ</t>
    </rPh>
    <rPh sb="12" eb="14">
      <t>ダンセイ</t>
    </rPh>
    <rPh sb="22" eb="25">
      <t>サイミマン</t>
    </rPh>
    <phoneticPr fontId="10"/>
  </si>
  <si>
    <t>　　　　　介護_非正規_男性_2年未満_20代</t>
    <rPh sb="12" eb="14">
      <t>ダンセイ</t>
    </rPh>
    <rPh sb="22" eb="23">
      <t>ダイ</t>
    </rPh>
    <phoneticPr fontId="10"/>
  </si>
  <si>
    <t>　　　　　介護_非正規_男性_2年未満_30代</t>
    <rPh sb="12" eb="14">
      <t>ダンセイ</t>
    </rPh>
    <rPh sb="22" eb="23">
      <t>ダイ</t>
    </rPh>
    <phoneticPr fontId="10"/>
  </si>
  <si>
    <t>　　　　　介護_非正規_男性_2年未満_40代</t>
    <rPh sb="12" eb="14">
      <t>ダンセイ</t>
    </rPh>
    <rPh sb="22" eb="23">
      <t>ダイ</t>
    </rPh>
    <phoneticPr fontId="10"/>
  </si>
  <si>
    <t>　　　　　介護_非正規_男性_2年未満_50代</t>
    <rPh sb="12" eb="14">
      <t>ダンセイ</t>
    </rPh>
    <rPh sb="22" eb="23">
      <t>ダイ</t>
    </rPh>
    <phoneticPr fontId="10"/>
  </si>
  <si>
    <t>　　　　　介護_非正規_男性_2年未満_60代</t>
    <rPh sb="12" eb="14">
      <t>ダンセイ</t>
    </rPh>
    <rPh sb="22" eb="23">
      <t>ダイ</t>
    </rPh>
    <phoneticPr fontId="10"/>
  </si>
  <si>
    <t xml:space="preserve"> 　介護_非正規_男性_2年未満_合計</t>
    <rPh sb="9" eb="11">
      <t>ダンセイ</t>
    </rPh>
    <rPh sb="17" eb="19">
      <t>ゴウケイ</t>
    </rPh>
    <phoneticPr fontId="10"/>
  </si>
  <si>
    <t>　　　　　介護_非正規_男性_3年未満_20歳未満</t>
    <rPh sb="5" eb="7">
      <t>カイゴ</t>
    </rPh>
    <rPh sb="12" eb="14">
      <t>ダンセイ</t>
    </rPh>
    <rPh sb="22" eb="25">
      <t>サイミマン</t>
    </rPh>
    <phoneticPr fontId="10"/>
  </si>
  <si>
    <t>　　　　　介護_非正規_男性_3年未満_20代</t>
    <rPh sb="12" eb="14">
      <t>ダンセイ</t>
    </rPh>
    <rPh sb="22" eb="23">
      <t>ダイ</t>
    </rPh>
    <phoneticPr fontId="10"/>
  </si>
  <si>
    <t>　　　　　介護_非正規_男性_3年未満_30代</t>
    <rPh sb="12" eb="14">
      <t>ダンセイ</t>
    </rPh>
    <rPh sb="22" eb="23">
      <t>ダイ</t>
    </rPh>
    <phoneticPr fontId="10"/>
  </si>
  <si>
    <t>　　　　　介護_非正規_男性_3年未満_40代</t>
    <rPh sb="12" eb="14">
      <t>ダンセイ</t>
    </rPh>
    <rPh sb="22" eb="23">
      <t>ダイ</t>
    </rPh>
    <phoneticPr fontId="10"/>
  </si>
  <si>
    <t>　　　　　介護_非正規_男性_3年未満_50代</t>
    <rPh sb="12" eb="14">
      <t>ダンセイ</t>
    </rPh>
    <rPh sb="22" eb="23">
      <t>ダイ</t>
    </rPh>
    <phoneticPr fontId="10"/>
  </si>
  <si>
    <t>　　　　　介護_非正規_男性_3年未満_60代</t>
    <rPh sb="12" eb="14">
      <t>ダンセイ</t>
    </rPh>
    <rPh sb="22" eb="23">
      <t>ダイ</t>
    </rPh>
    <phoneticPr fontId="10"/>
  </si>
  <si>
    <t xml:space="preserve"> 　介護_非正規_男性_3年未満_合計</t>
    <rPh sb="9" eb="11">
      <t>ダンセイ</t>
    </rPh>
    <rPh sb="17" eb="19">
      <t>ゴウケイ</t>
    </rPh>
    <phoneticPr fontId="10"/>
  </si>
  <si>
    <t>　　　　　介護_非正規_男性_4年未満_20歳未満</t>
    <rPh sb="5" eb="7">
      <t>カイゴ</t>
    </rPh>
    <rPh sb="12" eb="14">
      <t>ダンセイ</t>
    </rPh>
    <rPh sb="22" eb="25">
      <t>サイミマン</t>
    </rPh>
    <phoneticPr fontId="10"/>
  </si>
  <si>
    <t>　　　　　介護_非正規_男性_4年未満_20代</t>
    <rPh sb="12" eb="14">
      <t>ダンセイ</t>
    </rPh>
    <rPh sb="22" eb="23">
      <t>ダイ</t>
    </rPh>
    <phoneticPr fontId="10"/>
  </si>
  <si>
    <t>　　　　　介護_非正規_男性_4年未満_30代</t>
    <rPh sb="12" eb="14">
      <t>ダンセイ</t>
    </rPh>
    <rPh sb="22" eb="23">
      <t>ダイ</t>
    </rPh>
    <phoneticPr fontId="10"/>
  </si>
  <si>
    <t>　　　　　介護_非正規_男性_4年未満_40代</t>
    <rPh sb="12" eb="14">
      <t>ダンセイ</t>
    </rPh>
    <rPh sb="22" eb="23">
      <t>ダイ</t>
    </rPh>
    <phoneticPr fontId="10"/>
  </si>
  <si>
    <t>　　　　　介護_非正規_男性_4年未満_50代</t>
    <rPh sb="12" eb="14">
      <t>ダンセイ</t>
    </rPh>
    <rPh sb="22" eb="23">
      <t>ダイ</t>
    </rPh>
    <phoneticPr fontId="10"/>
  </si>
  <si>
    <t>　　　　　介護_非正規_男性_4年未満_60代</t>
    <rPh sb="12" eb="14">
      <t>ダンセイ</t>
    </rPh>
    <rPh sb="22" eb="23">
      <t>ダイ</t>
    </rPh>
    <phoneticPr fontId="10"/>
  </si>
  <si>
    <t xml:space="preserve"> 　介護_非正規_男性_4年未満_合計</t>
    <rPh sb="9" eb="11">
      <t>ダンセイ</t>
    </rPh>
    <rPh sb="17" eb="19">
      <t>ゴウケイ</t>
    </rPh>
    <phoneticPr fontId="10"/>
  </si>
  <si>
    <t>　　　　　介護_非正規_男性_5年未満_20歳未満</t>
    <rPh sb="5" eb="7">
      <t>カイゴ</t>
    </rPh>
    <rPh sb="12" eb="14">
      <t>ダンセイ</t>
    </rPh>
    <rPh sb="22" eb="25">
      <t>サイミマン</t>
    </rPh>
    <phoneticPr fontId="10"/>
  </si>
  <si>
    <t>　　　　　介護_非正規_男性_5年未満_20代</t>
    <rPh sb="12" eb="14">
      <t>ダンセイ</t>
    </rPh>
    <rPh sb="22" eb="23">
      <t>ダイ</t>
    </rPh>
    <phoneticPr fontId="10"/>
  </si>
  <si>
    <t>　　　　　介護_非正規_男性_5年未満_30代</t>
    <rPh sb="12" eb="14">
      <t>ダンセイ</t>
    </rPh>
    <rPh sb="22" eb="23">
      <t>ダイ</t>
    </rPh>
    <phoneticPr fontId="10"/>
  </si>
  <si>
    <t>　　　　　介護_非正規_男性_5年未満_40代</t>
    <rPh sb="12" eb="14">
      <t>ダンセイ</t>
    </rPh>
    <rPh sb="22" eb="23">
      <t>ダイ</t>
    </rPh>
    <phoneticPr fontId="10"/>
  </si>
  <si>
    <t>　　　　　介護_非正規_男性_5年未満_50代</t>
    <rPh sb="12" eb="14">
      <t>ダンセイ</t>
    </rPh>
    <rPh sb="22" eb="23">
      <t>ダイ</t>
    </rPh>
    <phoneticPr fontId="10"/>
  </si>
  <si>
    <t>　　　　　介護_非正規_男性_5年未満_60代</t>
    <rPh sb="12" eb="14">
      <t>ダンセイ</t>
    </rPh>
    <rPh sb="22" eb="23">
      <t>ダイ</t>
    </rPh>
    <phoneticPr fontId="10"/>
  </si>
  <si>
    <t xml:space="preserve"> 　介護_非正規_男性_5年未満_合計</t>
    <rPh sb="9" eb="11">
      <t>ダンセイ</t>
    </rPh>
    <rPh sb="17" eb="19">
      <t>ゴウケイ</t>
    </rPh>
    <phoneticPr fontId="10"/>
  </si>
  <si>
    <t>　　　　　介護_非正規_男性_5～9年未満_20歳未満</t>
    <rPh sb="5" eb="7">
      <t>カイゴ</t>
    </rPh>
    <rPh sb="12" eb="14">
      <t>ダンセイ</t>
    </rPh>
    <rPh sb="24" eb="27">
      <t>サイミマン</t>
    </rPh>
    <phoneticPr fontId="10"/>
  </si>
  <si>
    <t>　　　　　介護_非正規_男性_5～9年未満_20代</t>
    <rPh sb="12" eb="14">
      <t>ダンセイ</t>
    </rPh>
    <rPh sb="24" eb="25">
      <t>ダイ</t>
    </rPh>
    <phoneticPr fontId="10"/>
  </si>
  <si>
    <t>　　　　　介護_非正規_男性_5～9年未満_30代</t>
    <rPh sb="12" eb="14">
      <t>ダンセイ</t>
    </rPh>
    <rPh sb="24" eb="25">
      <t>ダイ</t>
    </rPh>
    <phoneticPr fontId="10"/>
  </si>
  <si>
    <t>　　　　　介護_非正規_男性_5～9年未満_40代</t>
    <rPh sb="12" eb="14">
      <t>ダンセイ</t>
    </rPh>
    <rPh sb="24" eb="25">
      <t>ダイ</t>
    </rPh>
    <phoneticPr fontId="10"/>
  </si>
  <si>
    <t>　　　　　介護_非正規_男性_5～9年未満_50代</t>
    <rPh sb="12" eb="14">
      <t>ダンセイ</t>
    </rPh>
    <rPh sb="24" eb="25">
      <t>ダイ</t>
    </rPh>
    <phoneticPr fontId="10"/>
  </si>
  <si>
    <t>　　　　　介護_非正規_男性_5～9年未満_60代</t>
    <rPh sb="12" eb="14">
      <t>ダンセイ</t>
    </rPh>
    <rPh sb="24" eb="25">
      <t>ダイ</t>
    </rPh>
    <phoneticPr fontId="10"/>
  </si>
  <si>
    <t xml:space="preserve"> 　介護_非正規_男性_5～9年未満_合計</t>
    <rPh sb="9" eb="11">
      <t>ダンセイ</t>
    </rPh>
    <rPh sb="19" eb="21">
      <t>ゴウケイ</t>
    </rPh>
    <phoneticPr fontId="10"/>
  </si>
  <si>
    <t>　　　　　介護_非正規_男性_10年以上_20歳未満</t>
    <rPh sb="5" eb="7">
      <t>カイゴ</t>
    </rPh>
    <rPh sb="12" eb="14">
      <t>ダンセイ</t>
    </rPh>
    <rPh sb="23" eb="26">
      <t>サイミマン</t>
    </rPh>
    <phoneticPr fontId="10"/>
  </si>
  <si>
    <t>　　　　　介護_非正規_男性_10年以上_20代</t>
    <rPh sb="12" eb="14">
      <t>ダンセイ</t>
    </rPh>
    <rPh sb="23" eb="24">
      <t>ダイ</t>
    </rPh>
    <phoneticPr fontId="10"/>
  </si>
  <si>
    <t>　　　　　介護_非正規_男性_10年以上_30代</t>
    <rPh sb="12" eb="14">
      <t>ダンセイ</t>
    </rPh>
    <rPh sb="23" eb="24">
      <t>ダイ</t>
    </rPh>
    <phoneticPr fontId="10"/>
  </si>
  <si>
    <t>　　　　　介護_非正規_男性_10年以上_40代</t>
    <rPh sb="12" eb="14">
      <t>ダンセイ</t>
    </rPh>
    <rPh sb="23" eb="24">
      <t>ダイ</t>
    </rPh>
    <phoneticPr fontId="10"/>
  </si>
  <si>
    <t>　　　　　介護_非正規_男性_10年以上_50代</t>
    <rPh sb="12" eb="14">
      <t>ダンセイ</t>
    </rPh>
    <rPh sb="23" eb="24">
      <t>ダイ</t>
    </rPh>
    <phoneticPr fontId="10"/>
  </si>
  <si>
    <t>　　　　　介護_非正規_男性_10年以上_60代</t>
    <rPh sb="12" eb="14">
      <t>ダンセイ</t>
    </rPh>
    <rPh sb="23" eb="24">
      <t>ダイ</t>
    </rPh>
    <phoneticPr fontId="10"/>
  </si>
  <si>
    <t xml:space="preserve"> 　介護_非正規_男性_10年以上_合計</t>
    <rPh sb="9" eb="11">
      <t>ダンセイ</t>
    </rPh>
    <rPh sb="18" eb="20">
      <t>ゴウケイ</t>
    </rPh>
    <phoneticPr fontId="10"/>
  </si>
  <si>
    <t>　　　　　介護_正規_女性_1年未満_20歳未満</t>
    <rPh sb="5" eb="7">
      <t>カイゴ</t>
    </rPh>
    <rPh sb="15" eb="16">
      <t>ネン</t>
    </rPh>
    <rPh sb="16" eb="18">
      <t>ミマン</t>
    </rPh>
    <rPh sb="21" eb="24">
      <t>サイミマン</t>
    </rPh>
    <phoneticPr fontId="10"/>
  </si>
  <si>
    <t>　　　　　介護_正規_女性_1年未満_20代</t>
    <rPh sb="21" eb="22">
      <t>ダイ</t>
    </rPh>
    <phoneticPr fontId="10"/>
  </si>
  <si>
    <t>　　　　　介護_正規_女性_1年未満_30代</t>
    <rPh sb="21" eb="22">
      <t>ダイ</t>
    </rPh>
    <phoneticPr fontId="10"/>
  </si>
  <si>
    <t>　　　　　介護_正規_女性_1年未満_40代</t>
    <rPh sb="21" eb="22">
      <t>ダイ</t>
    </rPh>
    <phoneticPr fontId="10"/>
  </si>
  <si>
    <t>　　　　　介護_正規_女性_1年未満_50代</t>
    <rPh sb="21" eb="22">
      <t>ダイ</t>
    </rPh>
    <phoneticPr fontId="10"/>
  </si>
  <si>
    <t>　　　　　介護_正規_女性_1年未満_60代</t>
    <rPh sb="21" eb="22">
      <t>ダイ</t>
    </rPh>
    <phoneticPr fontId="10"/>
  </si>
  <si>
    <t xml:space="preserve"> 　介護_正規_女性_1年未満_合計</t>
    <rPh sb="16" eb="18">
      <t>ゴウケイ</t>
    </rPh>
    <phoneticPr fontId="10"/>
  </si>
  <si>
    <t>　　　　　介護_正規_女性_2年未満_20歳未満</t>
    <rPh sb="5" eb="7">
      <t>カイゴ</t>
    </rPh>
    <rPh sb="21" eb="24">
      <t>サイミマン</t>
    </rPh>
    <phoneticPr fontId="10"/>
  </si>
  <si>
    <t>　　　　　介護_正規_女性_2年未満_20代</t>
    <rPh sb="21" eb="22">
      <t>ダイ</t>
    </rPh>
    <phoneticPr fontId="10"/>
  </si>
  <si>
    <t>　　　　　介護_正規_女性_2年未満_30代</t>
    <rPh sb="21" eb="22">
      <t>ダイ</t>
    </rPh>
    <phoneticPr fontId="10"/>
  </si>
  <si>
    <t>　　　　　介護_正規_女性_2年未満_40代</t>
    <rPh sb="21" eb="22">
      <t>ダイ</t>
    </rPh>
    <phoneticPr fontId="10"/>
  </si>
  <si>
    <t>　　　　　介護_正規_女性_2年未満_50代</t>
    <rPh sb="21" eb="22">
      <t>ダイ</t>
    </rPh>
    <phoneticPr fontId="10"/>
  </si>
  <si>
    <t>　　　　　介護_正規_女性_2年未満_60代</t>
    <rPh sb="21" eb="22">
      <t>ダイ</t>
    </rPh>
    <phoneticPr fontId="10"/>
  </si>
  <si>
    <t xml:space="preserve"> 　介護_正規_女性_2年未満_合計</t>
    <rPh sb="16" eb="18">
      <t>ゴウケイ</t>
    </rPh>
    <phoneticPr fontId="10"/>
  </si>
  <si>
    <t>　　　　　介護_正規_女性_3年未満_20歳未満</t>
    <rPh sb="5" eb="7">
      <t>カイゴ</t>
    </rPh>
    <rPh sb="21" eb="24">
      <t>サイミマン</t>
    </rPh>
    <phoneticPr fontId="10"/>
  </si>
  <si>
    <t>　　　　　介護_正規_女性_3年未満_20代</t>
    <rPh sb="21" eb="22">
      <t>ダイ</t>
    </rPh>
    <phoneticPr fontId="10"/>
  </si>
  <si>
    <t>　　　　　介護_正規_女性_3年未満_30代</t>
    <rPh sb="21" eb="22">
      <t>ダイ</t>
    </rPh>
    <phoneticPr fontId="10"/>
  </si>
  <si>
    <t>　　　　　介護_正規_女性_3年未満_40代</t>
    <rPh sb="21" eb="22">
      <t>ダイ</t>
    </rPh>
    <phoneticPr fontId="10"/>
  </si>
  <si>
    <t>　　　　　介護_正規_女性_3年未満_50代</t>
    <rPh sb="21" eb="22">
      <t>ダイ</t>
    </rPh>
    <phoneticPr fontId="10"/>
  </si>
  <si>
    <t>　　　　　介護_正規_女性_3年未満_60代</t>
    <rPh sb="21" eb="22">
      <t>ダイ</t>
    </rPh>
    <phoneticPr fontId="10"/>
  </si>
  <si>
    <t xml:space="preserve"> 　介護_正規_女性_3年未満_合計</t>
    <rPh sb="16" eb="18">
      <t>ゴウケイ</t>
    </rPh>
    <phoneticPr fontId="10"/>
  </si>
  <si>
    <t>　　　　　介護_正規_女性_4年未満_20歳未満</t>
    <rPh sb="5" eb="7">
      <t>カイゴ</t>
    </rPh>
    <rPh sb="21" eb="24">
      <t>サイミマン</t>
    </rPh>
    <phoneticPr fontId="10"/>
  </si>
  <si>
    <t>　　　　　介護_正規_女性_4年未満_20代</t>
    <rPh sb="21" eb="22">
      <t>ダイ</t>
    </rPh>
    <phoneticPr fontId="10"/>
  </si>
  <si>
    <t>　　　　　介護_正規_女性_4年未満_30代</t>
    <rPh sb="21" eb="22">
      <t>ダイ</t>
    </rPh>
    <phoneticPr fontId="10"/>
  </si>
  <si>
    <t>　　　　　介護_正規_女性_4年未満_40代</t>
    <rPh sb="21" eb="22">
      <t>ダイ</t>
    </rPh>
    <phoneticPr fontId="10"/>
  </si>
  <si>
    <t>　　　　　介護_正規_女性_4年未満_50代</t>
    <rPh sb="21" eb="22">
      <t>ダイ</t>
    </rPh>
    <phoneticPr fontId="10"/>
  </si>
  <si>
    <t>　　　　　介護_正規_女性_4年未満_60代</t>
    <rPh sb="21" eb="22">
      <t>ダイ</t>
    </rPh>
    <phoneticPr fontId="10"/>
  </si>
  <si>
    <t xml:space="preserve"> 　介護_正規_女性_4年未満_合計</t>
    <rPh sb="16" eb="18">
      <t>ゴウケイ</t>
    </rPh>
    <phoneticPr fontId="10"/>
  </si>
  <si>
    <t>　　　　　介護_正規_女性_5年未満_20歳未満</t>
    <rPh sb="5" eb="7">
      <t>カイゴ</t>
    </rPh>
    <rPh sb="21" eb="24">
      <t>サイミマン</t>
    </rPh>
    <phoneticPr fontId="10"/>
  </si>
  <si>
    <t>　　　　　介護_正規_女性_5年未満_20代</t>
    <rPh sb="21" eb="22">
      <t>ダイ</t>
    </rPh>
    <phoneticPr fontId="10"/>
  </si>
  <si>
    <t>　　　　　介護_正規_女性_5年未満_30代</t>
    <rPh sb="21" eb="22">
      <t>ダイ</t>
    </rPh>
    <phoneticPr fontId="10"/>
  </si>
  <si>
    <t>　　　　　介護_正規_女性_5年未満_40代</t>
    <rPh sb="21" eb="22">
      <t>ダイ</t>
    </rPh>
    <phoneticPr fontId="10"/>
  </si>
  <si>
    <t>　　　　　介護_正規_女性_5年未満_50代</t>
    <rPh sb="21" eb="22">
      <t>ダイ</t>
    </rPh>
    <phoneticPr fontId="10"/>
  </si>
  <si>
    <t>　　　　　介護_正規_女性_5年未満_60代</t>
    <rPh sb="21" eb="22">
      <t>ダイ</t>
    </rPh>
    <phoneticPr fontId="10"/>
  </si>
  <si>
    <t xml:space="preserve"> 　介護_正規_女性_5年未満_合計</t>
    <rPh sb="16" eb="18">
      <t>ゴウケイ</t>
    </rPh>
    <phoneticPr fontId="10"/>
  </si>
  <si>
    <t>　　　　　介護_正規_女性_5～9年未満_20歳未満</t>
    <rPh sb="5" eb="7">
      <t>カイゴ</t>
    </rPh>
    <rPh sb="23" eb="26">
      <t>サイミマン</t>
    </rPh>
    <phoneticPr fontId="10"/>
  </si>
  <si>
    <t>　　　　　介護_正規_女性_5～9年未満_20代</t>
    <rPh sb="23" eb="24">
      <t>ダイ</t>
    </rPh>
    <phoneticPr fontId="10"/>
  </si>
  <si>
    <t>　　　　　介護_正規_女性_5～9年未満_30代</t>
    <rPh sb="23" eb="24">
      <t>ダイ</t>
    </rPh>
    <phoneticPr fontId="10"/>
  </si>
  <si>
    <t>　　　　　介護_正規_女性_5～9年未満_40代</t>
    <rPh sb="23" eb="24">
      <t>ダイ</t>
    </rPh>
    <phoneticPr fontId="10"/>
  </si>
  <si>
    <t>　　　　　介護_正規_女性_5～9年未満_50代</t>
    <rPh sb="23" eb="24">
      <t>ダイ</t>
    </rPh>
    <phoneticPr fontId="10"/>
  </si>
  <si>
    <t>　　　　　介護_正規_女性_5～9年未満_60代</t>
    <rPh sb="23" eb="24">
      <t>ダイ</t>
    </rPh>
    <phoneticPr fontId="10"/>
  </si>
  <si>
    <t xml:space="preserve"> 　介護_正規_女性_5～9年未満_合計</t>
    <rPh sb="18" eb="20">
      <t>ゴウケイ</t>
    </rPh>
    <phoneticPr fontId="10"/>
  </si>
  <si>
    <t>　　　　　介護_正規_女性_10年以上_20歳未満</t>
    <rPh sb="5" eb="7">
      <t>カイゴ</t>
    </rPh>
    <rPh sb="22" eb="25">
      <t>サイミマン</t>
    </rPh>
    <phoneticPr fontId="10"/>
  </si>
  <si>
    <t>　　　　　介護_正規_女性_10年以上_20代</t>
    <rPh sb="22" eb="23">
      <t>ダイ</t>
    </rPh>
    <phoneticPr fontId="10"/>
  </si>
  <si>
    <t>　　　　　介護_正規_女性_10年以上_30代</t>
    <rPh sb="22" eb="23">
      <t>ダイ</t>
    </rPh>
    <phoneticPr fontId="10"/>
  </si>
  <si>
    <t>　　　　　介護_正規_女性_10年以上_40代</t>
    <rPh sb="22" eb="23">
      <t>ダイ</t>
    </rPh>
    <phoneticPr fontId="10"/>
  </si>
  <si>
    <t>　　　　　介護_正規_女性_10年以上_50代</t>
    <rPh sb="22" eb="23">
      <t>ダイ</t>
    </rPh>
    <phoneticPr fontId="10"/>
  </si>
  <si>
    <t>　　　　　介護_正規_女性_10年以上_60代</t>
    <rPh sb="22" eb="23">
      <t>ダイ</t>
    </rPh>
    <phoneticPr fontId="10"/>
  </si>
  <si>
    <t xml:space="preserve"> 　介護_正規_女性_10年以上_合計</t>
    <rPh sb="17" eb="19">
      <t>ゴウケイ</t>
    </rPh>
    <phoneticPr fontId="10"/>
  </si>
  <si>
    <t>　　　　　介護_非正規_女性_1年未満_20歳未満</t>
    <rPh sb="5" eb="7">
      <t>カイゴ</t>
    </rPh>
    <rPh sb="16" eb="17">
      <t>ネン</t>
    </rPh>
    <rPh sb="17" eb="19">
      <t>ミマン</t>
    </rPh>
    <rPh sb="22" eb="25">
      <t>サイミマン</t>
    </rPh>
    <phoneticPr fontId="10"/>
  </si>
  <si>
    <t>　　　　　介護_非正規_女性_1年未満_20代</t>
    <rPh sb="22" eb="23">
      <t>ダイ</t>
    </rPh>
    <phoneticPr fontId="10"/>
  </si>
  <si>
    <t>　　　　　介護_非正規_女性_1年未満_30代</t>
    <rPh sb="22" eb="23">
      <t>ダイ</t>
    </rPh>
    <phoneticPr fontId="10"/>
  </si>
  <si>
    <t>　　　　　介護_非正規_女性_1年未満_40代</t>
    <rPh sb="22" eb="23">
      <t>ダイ</t>
    </rPh>
    <phoneticPr fontId="10"/>
  </si>
  <si>
    <t>　　　　　介護_非正規_女性_1年未満_50代</t>
    <rPh sb="22" eb="23">
      <t>ダイ</t>
    </rPh>
    <phoneticPr fontId="10"/>
  </si>
  <si>
    <t>　　　　　介護_非正規_女性_1年未満_60代</t>
    <rPh sb="22" eb="23">
      <t>ダイ</t>
    </rPh>
    <phoneticPr fontId="10"/>
  </si>
  <si>
    <t xml:space="preserve"> 　介護_非正規_女性_1年未満_合計</t>
    <rPh sb="17" eb="19">
      <t>ゴウケイ</t>
    </rPh>
    <phoneticPr fontId="10"/>
  </si>
  <si>
    <t>　　　　　介護_非正規_女性_2年未満_20歳未満</t>
    <rPh sb="5" eb="7">
      <t>カイゴ</t>
    </rPh>
    <rPh sb="22" eb="25">
      <t>サイミマン</t>
    </rPh>
    <phoneticPr fontId="10"/>
  </si>
  <si>
    <t>　　　　　介護_非正規_女性_2年未満_20代</t>
    <rPh sb="22" eb="23">
      <t>ダイ</t>
    </rPh>
    <phoneticPr fontId="10"/>
  </si>
  <si>
    <t>　　　　　介護_非正規_女性_2年未満_30代</t>
    <rPh sb="22" eb="23">
      <t>ダイ</t>
    </rPh>
    <phoneticPr fontId="10"/>
  </si>
  <si>
    <t>　　　　　介護_非正規_女性_2年未満_40代</t>
    <rPh sb="22" eb="23">
      <t>ダイ</t>
    </rPh>
    <phoneticPr fontId="10"/>
  </si>
  <si>
    <t>　　　　　介護_非正規_女性_2年未満_50代</t>
    <rPh sb="22" eb="23">
      <t>ダイ</t>
    </rPh>
    <phoneticPr fontId="10"/>
  </si>
  <si>
    <t>　　　　　介護_非正規_女性_2年未満_60代</t>
    <rPh sb="22" eb="23">
      <t>ダイ</t>
    </rPh>
    <phoneticPr fontId="10"/>
  </si>
  <si>
    <t xml:space="preserve"> 　介護_非正規_女性_2年未満_合計</t>
    <rPh sb="17" eb="19">
      <t>ゴウケイ</t>
    </rPh>
    <phoneticPr fontId="10"/>
  </si>
  <si>
    <t>　　　　　介護_非正規_女性_3年未満_20歳未満</t>
    <rPh sb="5" eb="7">
      <t>カイゴ</t>
    </rPh>
    <rPh sb="22" eb="25">
      <t>サイミマン</t>
    </rPh>
    <phoneticPr fontId="10"/>
  </si>
  <si>
    <t>　　　　　介護_非正規_女性_3年未満_20代</t>
    <rPh sb="22" eb="23">
      <t>ダイ</t>
    </rPh>
    <phoneticPr fontId="10"/>
  </si>
  <si>
    <t>　　　　　介護_非正規_女性_3年未満_30代</t>
    <rPh sb="22" eb="23">
      <t>ダイ</t>
    </rPh>
    <phoneticPr fontId="10"/>
  </si>
  <si>
    <t>　　　　　介護_非正規_女性_3年未満_40代</t>
    <rPh sb="22" eb="23">
      <t>ダイ</t>
    </rPh>
    <phoneticPr fontId="10"/>
  </si>
  <si>
    <t>　　　　　介護_非正規_女性_3年未満_50代</t>
    <rPh sb="22" eb="23">
      <t>ダイ</t>
    </rPh>
    <phoneticPr fontId="10"/>
  </si>
  <si>
    <t>　　　　　介護_非正規_女性_3年未満_60代</t>
    <rPh sb="22" eb="23">
      <t>ダイ</t>
    </rPh>
    <phoneticPr fontId="10"/>
  </si>
  <si>
    <t xml:space="preserve"> 　介護_非正規_女性_3年未満_合計</t>
    <rPh sb="17" eb="19">
      <t>ゴウケイ</t>
    </rPh>
    <phoneticPr fontId="10"/>
  </si>
  <si>
    <t>　　　　　介護_非正規_女性_4年未満_20歳未満</t>
    <rPh sb="5" eb="7">
      <t>カイゴ</t>
    </rPh>
    <rPh sb="22" eb="25">
      <t>サイミマン</t>
    </rPh>
    <phoneticPr fontId="10"/>
  </si>
  <si>
    <t>　　　　　介護_非正規_女性_4年未満_20代</t>
    <rPh sb="22" eb="23">
      <t>ダイ</t>
    </rPh>
    <phoneticPr fontId="10"/>
  </si>
  <si>
    <t>　　　　　介護_非正規_女性_4年未満_30代</t>
    <rPh sb="22" eb="23">
      <t>ダイ</t>
    </rPh>
    <phoneticPr fontId="10"/>
  </si>
  <si>
    <t>　　　　　介護_非正規_女性_4年未満_40代</t>
    <rPh sb="22" eb="23">
      <t>ダイ</t>
    </rPh>
    <phoneticPr fontId="10"/>
  </si>
  <si>
    <t>　　　　　介護_非正規_女性_4年未満_50代</t>
    <rPh sb="22" eb="23">
      <t>ダイ</t>
    </rPh>
    <phoneticPr fontId="10"/>
  </si>
  <si>
    <t>　　　　　介護_非正規_女性_4年未満_60代</t>
    <rPh sb="22" eb="23">
      <t>ダイ</t>
    </rPh>
    <phoneticPr fontId="10"/>
  </si>
  <si>
    <t xml:space="preserve"> 　介護_非正規_女性_4年未満_合計</t>
    <rPh sb="17" eb="19">
      <t>ゴウケイ</t>
    </rPh>
    <phoneticPr fontId="10"/>
  </si>
  <si>
    <t>　　　　　介護_非正規_女性_5年未満_20歳未満</t>
    <rPh sb="5" eb="7">
      <t>カイゴ</t>
    </rPh>
    <rPh sb="22" eb="25">
      <t>サイミマン</t>
    </rPh>
    <phoneticPr fontId="10"/>
  </si>
  <si>
    <t>　　　　　介護_非正規_女性_5年未満_20代</t>
    <rPh sb="22" eb="23">
      <t>ダイ</t>
    </rPh>
    <phoneticPr fontId="10"/>
  </si>
  <si>
    <t>　　　　　介護_非正規_女性_5年未満_30代</t>
    <rPh sb="22" eb="23">
      <t>ダイ</t>
    </rPh>
    <phoneticPr fontId="10"/>
  </si>
  <si>
    <t>　　　　　介護_非正規_女性_5年未満_40代</t>
    <rPh sb="22" eb="23">
      <t>ダイ</t>
    </rPh>
    <phoneticPr fontId="10"/>
  </si>
  <si>
    <t>　　　　　介護_非正規_女性_5年未満_50代</t>
    <rPh sb="22" eb="23">
      <t>ダイ</t>
    </rPh>
    <phoneticPr fontId="10"/>
  </si>
  <si>
    <t>　　　　　介護_非正規_女性_5年未満_60代</t>
    <rPh sb="22" eb="23">
      <t>ダイ</t>
    </rPh>
    <phoneticPr fontId="10"/>
  </si>
  <si>
    <t xml:space="preserve"> 　介護_非正規_女性_5年未満_合計</t>
    <rPh sb="17" eb="19">
      <t>ゴウケイ</t>
    </rPh>
    <phoneticPr fontId="10"/>
  </si>
  <si>
    <t>　　　　　介護_非正規_女性_5～9年未満_20歳未満</t>
    <rPh sb="5" eb="7">
      <t>カイゴ</t>
    </rPh>
    <rPh sb="24" eb="27">
      <t>サイミマン</t>
    </rPh>
    <phoneticPr fontId="10"/>
  </si>
  <si>
    <t>　　　　　介護_非正規_女性_5～9年未満_20代</t>
    <rPh sb="24" eb="25">
      <t>ダイ</t>
    </rPh>
    <phoneticPr fontId="10"/>
  </si>
  <si>
    <t>　　　　　介護_非正規_女性_5～9年未満_30代</t>
    <rPh sb="24" eb="25">
      <t>ダイ</t>
    </rPh>
    <phoneticPr fontId="10"/>
  </si>
  <si>
    <t>　　　　　介護_非正規_女性_5～9年未満_40代</t>
    <rPh sb="24" eb="25">
      <t>ダイ</t>
    </rPh>
    <phoneticPr fontId="10"/>
  </si>
  <si>
    <t>　　　　　介護_非正規_女性_5～9年未満_50代</t>
    <rPh sb="24" eb="25">
      <t>ダイ</t>
    </rPh>
    <phoneticPr fontId="10"/>
  </si>
  <si>
    <t>　　　　　介護_非正規_女性_5～9年未満_60代</t>
    <rPh sb="24" eb="25">
      <t>ダイ</t>
    </rPh>
    <phoneticPr fontId="10"/>
  </si>
  <si>
    <t xml:space="preserve"> 　介護_非正規_女性_5～9年未満_合計</t>
    <rPh sb="19" eb="21">
      <t>ゴウケイ</t>
    </rPh>
    <phoneticPr fontId="10"/>
  </si>
  <si>
    <t>　　　　　介護_非正規_女性_10年以上_20歳未満</t>
    <rPh sb="5" eb="7">
      <t>カイゴ</t>
    </rPh>
    <rPh sb="23" eb="26">
      <t>サイミマン</t>
    </rPh>
    <phoneticPr fontId="10"/>
  </si>
  <si>
    <t>　　　　　介護_非正規_女性_10年以上_20代</t>
    <rPh sb="23" eb="24">
      <t>ダイ</t>
    </rPh>
    <phoneticPr fontId="10"/>
  </si>
  <si>
    <t>　　　　　介護_非正規_女性_10年以上_30代</t>
    <rPh sb="23" eb="24">
      <t>ダイ</t>
    </rPh>
    <phoneticPr fontId="10"/>
  </si>
  <si>
    <t>　　　　　介護_非正規_女性_10年以上_40代</t>
    <rPh sb="23" eb="24">
      <t>ダイ</t>
    </rPh>
    <phoneticPr fontId="10"/>
  </si>
  <si>
    <t>　　　　　介護_非正規_女性_10年以上_50代</t>
    <rPh sb="23" eb="24">
      <t>ダイ</t>
    </rPh>
    <phoneticPr fontId="10"/>
  </si>
  <si>
    <t>　　　　　介護_非正規_女性_10年以上_60代</t>
    <rPh sb="23" eb="24">
      <t>ダイ</t>
    </rPh>
    <phoneticPr fontId="10"/>
  </si>
  <si>
    <t xml:space="preserve"> 　介護_非正規_女性_10年以上_合計</t>
    <rPh sb="18" eb="20">
      <t>ゴウケイ</t>
    </rPh>
    <phoneticPr fontId="10"/>
  </si>
  <si>
    <t>２６．採用　　　　　新卒_正規_男性</t>
    <rPh sb="3" eb="5">
      <t>サイヨウ</t>
    </rPh>
    <rPh sb="10" eb="12">
      <t>シンソツ</t>
    </rPh>
    <rPh sb="13" eb="15">
      <t>セイキ</t>
    </rPh>
    <rPh sb="16" eb="18">
      <t>ダンセイ</t>
    </rPh>
    <phoneticPr fontId="27"/>
  </si>
  <si>
    <t>２７．初任給　高卒_あり_基本給</t>
    <rPh sb="3" eb="6">
      <t>ショニンキュウ</t>
    </rPh>
    <rPh sb="7" eb="9">
      <t>コウソツ</t>
    </rPh>
    <rPh sb="13" eb="16">
      <t>キホンキュウ</t>
    </rPh>
    <phoneticPr fontId="10"/>
  </si>
  <si>
    <t xml:space="preserve">２８．非正規介護職員の時給_あり_介護福祉士     </t>
    <rPh sb="3" eb="4">
      <t>ヒ</t>
    </rPh>
    <rPh sb="4" eb="6">
      <t>セイキ</t>
    </rPh>
    <rPh sb="6" eb="8">
      <t>カイゴ</t>
    </rPh>
    <rPh sb="8" eb="9">
      <t>ショク</t>
    </rPh>
    <rPh sb="9" eb="10">
      <t>イン</t>
    </rPh>
    <rPh sb="11" eb="13">
      <t>ジキュウ</t>
    </rPh>
    <rPh sb="17" eb="19">
      <t>カイゴ</t>
    </rPh>
    <rPh sb="19" eb="22">
      <t>フクシシ</t>
    </rPh>
    <phoneticPr fontId="10"/>
  </si>
  <si>
    <t>①H28_本給</t>
    <rPh sb="5" eb="7">
      <t>ホンキュウ</t>
    </rPh>
    <phoneticPr fontId="10"/>
  </si>
  <si>
    <t>①H28_諸手当（合計）</t>
    <rPh sb="5" eb="8">
      <t>ショテアテ</t>
    </rPh>
    <rPh sb="9" eb="11">
      <t>ゴウケイ</t>
    </rPh>
    <phoneticPr fontId="10"/>
  </si>
  <si>
    <t>①H28_手当_夜勤手当_金額</t>
    <rPh sb="5" eb="7">
      <t>テアテ</t>
    </rPh>
    <rPh sb="8" eb="10">
      <t>ヤキン</t>
    </rPh>
    <rPh sb="10" eb="12">
      <t>テアテ</t>
    </rPh>
    <rPh sb="13" eb="15">
      <t>キンガク</t>
    </rPh>
    <phoneticPr fontId="10"/>
  </si>
  <si>
    <t>①H28_手当_夜勤手当_回数</t>
    <rPh sb="5" eb="7">
      <t>テアテ</t>
    </rPh>
    <rPh sb="8" eb="10">
      <t>ヤキン</t>
    </rPh>
    <rPh sb="10" eb="12">
      <t>テアテ</t>
    </rPh>
    <rPh sb="13" eb="15">
      <t>カイスウ</t>
    </rPh>
    <phoneticPr fontId="10"/>
  </si>
  <si>
    <t>①H28_手当_時間外手当_金額</t>
    <rPh sb="5" eb="7">
      <t>テアテ</t>
    </rPh>
    <rPh sb="8" eb="11">
      <t>ジカンガイ</t>
    </rPh>
    <rPh sb="11" eb="13">
      <t>テアテ</t>
    </rPh>
    <rPh sb="14" eb="16">
      <t>キンガク</t>
    </rPh>
    <phoneticPr fontId="10"/>
  </si>
  <si>
    <t>①H28_手当_時間外手当_時間</t>
    <rPh sb="5" eb="7">
      <t>テアテ</t>
    </rPh>
    <rPh sb="8" eb="11">
      <t>ジカンガイ</t>
    </rPh>
    <rPh sb="11" eb="13">
      <t>テアテ</t>
    </rPh>
    <rPh sb="14" eb="16">
      <t>ジカン</t>
    </rPh>
    <phoneticPr fontId="10"/>
  </si>
  <si>
    <t>①H28_手当_資格手当_金額</t>
    <rPh sb="5" eb="7">
      <t>テアテ</t>
    </rPh>
    <rPh sb="8" eb="10">
      <t>シカク</t>
    </rPh>
    <rPh sb="10" eb="12">
      <t>テアテ</t>
    </rPh>
    <rPh sb="13" eb="15">
      <t>キンガク</t>
    </rPh>
    <phoneticPr fontId="10"/>
  </si>
  <si>
    <t>①H28_手当_資格手当_資格名</t>
    <rPh sb="5" eb="7">
      <t>テアテ</t>
    </rPh>
    <rPh sb="8" eb="10">
      <t>シカク</t>
    </rPh>
    <rPh sb="10" eb="12">
      <t>テアテ</t>
    </rPh>
    <rPh sb="13" eb="15">
      <t>シカク</t>
    </rPh>
    <rPh sb="15" eb="16">
      <t>メイ</t>
    </rPh>
    <phoneticPr fontId="10"/>
  </si>
  <si>
    <t>①H28_手当_処遇改善加算相当額</t>
    <rPh sb="5" eb="7">
      <t>テアテ</t>
    </rPh>
    <rPh sb="8" eb="10">
      <t>ショグウ</t>
    </rPh>
    <rPh sb="10" eb="12">
      <t>カイゼン</t>
    </rPh>
    <rPh sb="12" eb="14">
      <t>カサン</t>
    </rPh>
    <rPh sb="14" eb="16">
      <t>ソウトウ</t>
    </rPh>
    <rPh sb="16" eb="17">
      <t>ガク</t>
    </rPh>
    <phoneticPr fontId="10"/>
  </si>
  <si>
    <t>①H28_手当_その他</t>
    <rPh sb="5" eb="7">
      <t>テアテ</t>
    </rPh>
    <rPh sb="10" eb="11">
      <t>タ</t>
    </rPh>
    <phoneticPr fontId="10"/>
  </si>
  <si>
    <t>②H28_本給</t>
    <rPh sb="5" eb="7">
      <t>ホンキュウ</t>
    </rPh>
    <phoneticPr fontId="10"/>
  </si>
  <si>
    <t>②H28_諸手当（合計）</t>
    <rPh sb="5" eb="8">
      <t>ショテアテ</t>
    </rPh>
    <rPh sb="9" eb="11">
      <t>ゴウケイ</t>
    </rPh>
    <phoneticPr fontId="10"/>
  </si>
  <si>
    <t>②H28_手当_夜勤手当_金額</t>
    <rPh sb="5" eb="7">
      <t>テアテ</t>
    </rPh>
    <rPh sb="8" eb="10">
      <t>ヤキン</t>
    </rPh>
    <rPh sb="10" eb="12">
      <t>テアテ</t>
    </rPh>
    <rPh sb="13" eb="15">
      <t>キンガク</t>
    </rPh>
    <phoneticPr fontId="10"/>
  </si>
  <si>
    <t>②H28_手当_夜勤手当_回数</t>
    <rPh sb="5" eb="7">
      <t>テアテ</t>
    </rPh>
    <rPh sb="8" eb="10">
      <t>ヤキン</t>
    </rPh>
    <rPh sb="10" eb="12">
      <t>テアテ</t>
    </rPh>
    <rPh sb="13" eb="15">
      <t>カイスウ</t>
    </rPh>
    <phoneticPr fontId="10"/>
  </si>
  <si>
    <t>②H28_手当_時間外手当_金額</t>
    <rPh sb="5" eb="7">
      <t>テアテ</t>
    </rPh>
    <rPh sb="8" eb="11">
      <t>ジカンガイ</t>
    </rPh>
    <rPh sb="11" eb="13">
      <t>テアテ</t>
    </rPh>
    <rPh sb="14" eb="16">
      <t>キンガク</t>
    </rPh>
    <phoneticPr fontId="10"/>
  </si>
  <si>
    <t>②H28_手当_時間外手当_時間</t>
    <rPh sb="5" eb="7">
      <t>テアテ</t>
    </rPh>
    <rPh sb="8" eb="11">
      <t>ジカンガイ</t>
    </rPh>
    <rPh sb="11" eb="13">
      <t>テアテ</t>
    </rPh>
    <rPh sb="14" eb="16">
      <t>ジカン</t>
    </rPh>
    <phoneticPr fontId="10"/>
  </si>
  <si>
    <t>②H28_手当_資格手当_金額</t>
    <rPh sb="5" eb="7">
      <t>テアテ</t>
    </rPh>
    <rPh sb="8" eb="10">
      <t>シカク</t>
    </rPh>
    <rPh sb="10" eb="12">
      <t>テアテ</t>
    </rPh>
    <rPh sb="13" eb="15">
      <t>キンガク</t>
    </rPh>
    <phoneticPr fontId="10"/>
  </si>
  <si>
    <t>②H28_手当_資格手当_資格名</t>
    <rPh sb="5" eb="7">
      <t>テアテ</t>
    </rPh>
    <rPh sb="8" eb="10">
      <t>シカク</t>
    </rPh>
    <rPh sb="10" eb="12">
      <t>テアテ</t>
    </rPh>
    <rPh sb="13" eb="15">
      <t>シカク</t>
    </rPh>
    <rPh sb="15" eb="16">
      <t>メイ</t>
    </rPh>
    <phoneticPr fontId="10"/>
  </si>
  <si>
    <t>②H28_手当_処遇改善加算相当額</t>
    <rPh sb="5" eb="7">
      <t>テアテ</t>
    </rPh>
    <rPh sb="8" eb="10">
      <t>ショグウ</t>
    </rPh>
    <rPh sb="10" eb="12">
      <t>カイゼン</t>
    </rPh>
    <rPh sb="12" eb="14">
      <t>カサン</t>
    </rPh>
    <rPh sb="14" eb="16">
      <t>ソウトウ</t>
    </rPh>
    <rPh sb="16" eb="17">
      <t>ガク</t>
    </rPh>
    <phoneticPr fontId="10"/>
  </si>
  <si>
    <t>②H28_手当_その他</t>
    <rPh sb="5" eb="7">
      <t>テアテ</t>
    </rPh>
    <rPh sb="10" eb="11">
      <t>タ</t>
    </rPh>
    <phoneticPr fontId="10"/>
  </si>
  <si>
    <t>③H28_本給</t>
    <rPh sb="5" eb="7">
      <t>ホンキュウ</t>
    </rPh>
    <phoneticPr fontId="10"/>
  </si>
  <si>
    <t>③H28_諸手当（合計）</t>
    <rPh sb="5" eb="8">
      <t>ショテアテ</t>
    </rPh>
    <rPh sb="9" eb="11">
      <t>ゴウケイ</t>
    </rPh>
    <phoneticPr fontId="10"/>
  </si>
  <si>
    <t>③H28_手当_夜勤手当_金額</t>
    <rPh sb="5" eb="7">
      <t>テアテ</t>
    </rPh>
    <rPh sb="8" eb="10">
      <t>ヤキン</t>
    </rPh>
    <rPh sb="10" eb="12">
      <t>テアテ</t>
    </rPh>
    <rPh sb="13" eb="15">
      <t>キンガク</t>
    </rPh>
    <phoneticPr fontId="10"/>
  </si>
  <si>
    <t>③H28_手当_夜勤手当_回数</t>
    <rPh sb="5" eb="7">
      <t>テアテ</t>
    </rPh>
    <rPh sb="8" eb="10">
      <t>ヤキン</t>
    </rPh>
    <rPh sb="10" eb="12">
      <t>テアテ</t>
    </rPh>
    <rPh sb="13" eb="15">
      <t>カイスウ</t>
    </rPh>
    <phoneticPr fontId="10"/>
  </si>
  <si>
    <t>③H28_手当_時間外手当_金額</t>
    <rPh sb="5" eb="7">
      <t>テアテ</t>
    </rPh>
    <rPh sb="8" eb="11">
      <t>ジカンガイ</t>
    </rPh>
    <rPh sb="11" eb="13">
      <t>テアテ</t>
    </rPh>
    <rPh sb="14" eb="16">
      <t>キンガク</t>
    </rPh>
    <phoneticPr fontId="10"/>
  </si>
  <si>
    <t>③H28_手当_時間外手当_時間</t>
    <rPh sb="5" eb="7">
      <t>テアテ</t>
    </rPh>
    <rPh sb="8" eb="11">
      <t>ジカンガイ</t>
    </rPh>
    <rPh sb="11" eb="13">
      <t>テアテ</t>
    </rPh>
    <rPh sb="14" eb="16">
      <t>ジカン</t>
    </rPh>
    <phoneticPr fontId="10"/>
  </si>
  <si>
    <t>③H28_手当_資格手当_金額</t>
    <rPh sb="5" eb="7">
      <t>テアテ</t>
    </rPh>
    <rPh sb="8" eb="10">
      <t>シカク</t>
    </rPh>
    <rPh sb="10" eb="12">
      <t>テアテ</t>
    </rPh>
    <rPh sb="13" eb="15">
      <t>キンガク</t>
    </rPh>
    <phoneticPr fontId="10"/>
  </si>
  <si>
    <t>③H28_手当_資格手当_資格名</t>
    <rPh sb="5" eb="7">
      <t>テアテ</t>
    </rPh>
    <rPh sb="8" eb="10">
      <t>シカク</t>
    </rPh>
    <rPh sb="10" eb="12">
      <t>テアテ</t>
    </rPh>
    <rPh sb="13" eb="15">
      <t>シカク</t>
    </rPh>
    <rPh sb="15" eb="16">
      <t>メイ</t>
    </rPh>
    <phoneticPr fontId="10"/>
  </si>
  <si>
    <t>③H28_手当_処遇改善加算相当額</t>
    <rPh sb="5" eb="7">
      <t>テアテ</t>
    </rPh>
    <rPh sb="8" eb="10">
      <t>ショグウ</t>
    </rPh>
    <rPh sb="10" eb="12">
      <t>カイゼン</t>
    </rPh>
    <rPh sb="12" eb="14">
      <t>カサン</t>
    </rPh>
    <rPh sb="14" eb="16">
      <t>ソウトウ</t>
    </rPh>
    <rPh sb="16" eb="17">
      <t>ガク</t>
    </rPh>
    <phoneticPr fontId="10"/>
  </si>
  <si>
    <t>③H28_手当_その他</t>
    <rPh sb="5" eb="7">
      <t>テアテ</t>
    </rPh>
    <rPh sb="10" eb="11">
      <t>タ</t>
    </rPh>
    <phoneticPr fontId="10"/>
  </si>
  <si>
    <t>④H28_本給</t>
    <rPh sb="5" eb="7">
      <t>ホンキュウ</t>
    </rPh>
    <phoneticPr fontId="10"/>
  </si>
  <si>
    <t>④H28_諸手当（合計）</t>
    <rPh sb="5" eb="8">
      <t>ショテアテ</t>
    </rPh>
    <rPh sb="9" eb="11">
      <t>ゴウケイ</t>
    </rPh>
    <phoneticPr fontId="10"/>
  </si>
  <si>
    <t>④H28_手当_夜勤手当_金額</t>
    <rPh sb="5" eb="7">
      <t>テアテ</t>
    </rPh>
    <rPh sb="8" eb="10">
      <t>ヤキン</t>
    </rPh>
    <rPh sb="10" eb="12">
      <t>テアテ</t>
    </rPh>
    <rPh sb="13" eb="15">
      <t>キンガク</t>
    </rPh>
    <phoneticPr fontId="10"/>
  </si>
  <si>
    <t>④H28_手当_夜勤手当_回数</t>
    <rPh sb="5" eb="7">
      <t>テアテ</t>
    </rPh>
    <rPh sb="8" eb="10">
      <t>ヤキン</t>
    </rPh>
    <rPh sb="10" eb="12">
      <t>テアテ</t>
    </rPh>
    <rPh sb="13" eb="15">
      <t>カイスウ</t>
    </rPh>
    <phoneticPr fontId="10"/>
  </si>
  <si>
    <t>④H28_手当_時間外手当_金額</t>
    <rPh sb="5" eb="7">
      <t>テアテ</t>
    </rPh>
    <rPh sb="8" eb="11">
      <t>ジカンガイ</t>
    </rPh>
    <rPh sb="11" eb="13">
      <t>テアテ</t>
    </rPh>
    <rPh sb="14" eb="16">
      <t>キンガク</t>
    </rPh>
    <phoneticPr fontId="10"/>
  </si>
  <si>
    <t>④H28_手当_時間外手当_時間</t>
    <rPh sb="5" eb="7">
      <t>テアテ</t>
    </rPh>
    <rPh sb="8" eb="11">
      <t>ジカンガイ</t>
    </rPh>
    <rPh sb="11" eb="13">
      <t>テアテ</t>
    </rPh>
    <rPh sb="14" eb="16">
      <t>ジカン</t>
    </rPh>
    <phoneticPr fontId="10"/>
  </si>
  <si>
    <t>④H28_手当_資格手当_金額</t>
    <rPh sb="5" eb="7">
      <t>テアテ</t>
    </rPh>
    <rPh sb="8" eb="10">
      <t>シカク</t>
    </rPh>
    <rPh sb="10" eb="12">
      <t>テアテ</t>
    </rPh>
    <rPh sb="13" eb="15">
      <t>キンガク</t>
    </rPh>
    <phoneticPr fontId="10"/>
  </si>
  <si>
    <t>④H28_手当_資格手当_資格名</t>
    <rPh sb="5" eb="7">
      <t>テアテ</t>
    </rPh>
    <rPh sb="8" eb="10">
      <t>シカク</t>
    </rPh>
    <rPh sb="10" eb="12">
      <t>テアテ</t>
    </rPh>
    <rPh sb="13" eb="15">
      <t>シカク</t>
    </rPh>
    <rPh sb="15" eb="16">
      <t>メイ</t>
    </rPh>
    <phoneticPr fontId="10"/>
  </si>
  <si>
    <t>④H28_手当_処遇改善加算相当額</t>
    <rPh sb="5" eb="7">
      <t>テアテ</t>
    </rPh>
    <rPh sb="8" eb="10">
      <t>ショグウ</t>
    </rPh>
    <rPh sb="10" eb="12">
      <t>カイゼン</t>
    </rPh>
    <rPh sb="12" eb="14">
      <t>カサン</t>
    </rPh>
    <rPh sb="14" eb="16">
      <t>ソウトウ</t>
    </rPh>
    <rPh sb="16" eb="17">
      <t>ガク</t>
    </rPh>
    <phoneticPr fontId="10"/>
  </si>
  <si>
    <t>④H28_手当_その他</t>
    <rPh sb="5" eb="7">
      <t>テアテ</t>
    </rPh>
    <rPh sb="10" eb="11">
      <t>タ</t>
    </rPh>
    <phoneticPr fontId="10"/>
  </si>
  <si>
    <t>⑤H28_本給</t>
    <rPh sb="5" eb="7">
      <t>ホンキュウ</t>
    </rPh>
    <phoneticPr fontId="10"/>
  </si>
  <si>
    <t>⑤H28_諸手当（合計）</t>
    <rPh sb="5" eb="8">
      <t>ショテアテ</t>
    </rPh>
    <rPh sb="9" eb="11">
      <t>ゴウケイ</t>
    </rPh>
    <phoneticPr fontId="10"/>
  </si>
  <si>
    <t>⑤H28_手当_夜勤手当_金額</t>
    <rPh sb="5" eb="7">
      <t>テアテ</t>
    </rPh>
    <rPh sb="8" eb="10">
      <t>ヤキン</t>
    </rPh>
    <rPh sb="10" eb="12">
      <t>テアテ</t>
    </rPh>
    <rPh sb="13" eb="15">
      <t>キンガク</t>
    </rPh>
    <phoneticPr fontId="10"/>
  </si>
  <si>
    <t>⑤H28_手当_夜勤手当_回数</t>
    <rPh sb="5" eb="7">
      <t>テアテ</t>
    </rPh>
    <rPh sb="8" eb="10">
      <t>ヤキン</t>
    </rPh>
    <rPh sb="10" eb="12">
      <t>テアテ</t>
    </rPh>
    <rPh sb="13" eb="15">
      <t>カイスウ</t>
    </rPh>
    <phoneticPr fontId="10"/>
  </si>
  <si>
    <t>⑤H28_手当_時間外手当_金額</t>
    <rPh sb="5" eb="7">
      <t>テアテ</t>
    </rPh>
    <rPh sb="8" eb="11">
      <t>ジカンガイ</t>
    </rPh>
    <rPh sb="11" eb="13">
      <t>テアテ</t>
    </rPh>
    <rPh sb="14" eb="16">
      <t>キンガク</t>
    </rPh>
    <phoneticPr fontId="10"/>
  </si>
  <si>
    <t>⑤H28_手当_時間外手当_時間</t>
    <rPh sb="5" eb="7">
      <t>テアテ</t>
    </rPh>
    <rPh sb="8" eb="11">
      <t>ジカンガイ</t>
    </rPh>
    <rPh sb="11" eb="13">
      <t>テアテ</t>
    </rPh>
    <rPh sb="14" eb="16">
      <t>ジカン</t>
    </rPh>
    <phoneticPr fontId="10"/>
  </si>
  <si>
    <t>⑤H28_手当_資格手当_金額</t>
    <rPh sb="5" eb="7">
      <t>テアテ</t>
    </rPh>
    <rPh sb="8" eb="10">
      <t>シカク</t>
    </rPh>
    <rPh sb="10" eb="12">
      <t>テアテ</t>
    </rPh>
    <rPh sb="13" eb="15">
      <t>キンガク</t>
    </rPh>
    <phoneticPr fontId="10"/>
  </si>
  <si>
    <t>⑤H28_手当_資格手当_資格名</t>
    <rPh sb="5" eb="7">
      <t>テアテ</t>
    </rPh>
    <rPh sb="8" eb="10">
      <t>シカク</t>
    </rPh>
    <rPh sb="10" eb="12">
      <t>テアテ</t>
    </rPh>
    <rPh sb="13" eb="15">
      <t>シカク</t>
    </rPh>
    <rPh sb="15" eb="16">
      <t>メイ</t>
    </rPh>
    <phoneticPr fontId="10"/>
  </si>
  <si>
    <t>⑤H28_手当_処遇改善加算相当額</t>
    <rPh sb="5" eb="7">
      <t>テアテ</t>
    </rPh>
    <rPh sb="8" eb="10">
      <t>ショグウ</t>
    </rPh>
    <rPh sb="10" eb="12">
      <t>カイゼン</t>
    </rPh>
    <rPh sb="12" eb="14">
      <t>カサン</t>
    </rPh>
    <rPh sb="14" eb="16">
      <t>ソウトウ</t>
    </rPh>
    <rPh sb="16" eb="17">
      <t>ガク</t>
    </rPh>
    <phoneticPr fontId="10"/>
  </si>
  <si>
    <t>⑤H28_手当_その他</t>
    <rPh sb="5" eb="7">
      <t>テアテ</t>
    </rPh>
    <rPh sb="10" eb="11">
      <t>タ</t>
    </rPh>
    <phoneticPr fontId="10"/>
  </si>
  <si>
    <t>⑥H28_本給</t>
    <rPh sb="5" eb="7">
      <t>ホンキュウ</t>
    </rPh>
    <phoneticPr fontId="10"/>
  </si>
  <si>
    <t>⑥H28_諸手当（合計）</t>
    <rPh sb="5" eb="8">
      <t>ショテアテ</t>
    </rPh>
    <rPh sb="9" eb="11">
      <t>ゴウケイ</t>
    </rPh>
    <phoneticPr fontId="10"/>
  </si>
  <si>
    <t>⑥H28_手当_夜勤手当_金額</t>
    <rPh sb="5" eb="7">
      <t>テアテ</t>
    </rPh>
    <rPh sb="8" eb="10">
      <t>ヤキン</t>
    </rPh>
    <rPh sb="10" eb="12">
      <t>テアテ</t>
    </rPh>
    <rPh sb="13" eb="15">
      <t>キンガク</t>
    </rPh>
    <phoneticPr fontId="10"/>
  </si>
  <si>
    <t>⑥H28_手当_夜勤手当_回数</t>
    <rPh sb="5" eb="7">
      <t>テアテ</t>
    </rPh>
    <rPh sb="8" eb="10">
      <t>ヤキン</t>
    </rPh>
    <rPh sb="10" eb="12">
      <t>テアテ</t>
    </rPh>
    <rPh sb="13" eb="15">
      <t>カイスウ</t>
    </rPh>
    <phoneticPr fontId="10"/>
  </si>
  <si>
    <t>⑥H28_手当_時間外手当_金額</t>
    <rPh sb="5" eb="7">
      <t>テアテ</t>
    </rPh>
    <rPh sb="8" eb="11">
      <t>ジカンガイ</t>
    </rPh>
    <rPh sb="11" eb="13">
      <t>テアテ</t>
    </rPh>
    <rPh sb="14" eb="16">
      <t>キンガク</t>
    </rPh>
    <phoneticPr fontId="10"/>
  </si>
  <si>
    <t>⑥H28_手当_時間外手当_時間</t>
    <rPh sb="5" eb="7">
      <t>テアテ</t>
    </rPh>
    <rPh sb="8" eb="11">
      <t>ジカンガイ</t>
    </rPh>
    <rPh sb="11" eb="13">
      <t>テアテ</t>
    </rPh>
    <rPh sb="14" eb="16">
      <t>ジカン</t>
    </rPh>
    <phoneticPr fontId="10"/>
  </si>
  <si>
    <t>⑥H28_手当_資格手当_金額</t>
    <rPh sb="5" eb="7">
      <t>テアテ</t>
    </rPh>
    <rPh sb="8" eb="10">
      <t>シカク</t>
    </rPh>
    <rPh sb="10" eb="12">
      <t>テアテ</t>
    </rPh>
    <rPh sb="13" eb="15">
      <t>キンガク</t>
    </rPh>
    <phoneticPr fontId="10"/>
  </si>
  <si>
    <t>⑥H28_手当_資格手当_資格名</t>
    <rPh sb="5" eb="7">
      <t>テアテ</t>
    </rPh>
    <rPh sb="8" eb="10">
      <t>シカク</t>
    </rPh>
    <rPh sb="10" eb="12">
      <t>テアテ</t>
    </rPh>
    <rPh sb="13" eb="15">
      <t>シカク</t>
    </rPh>
    <rPh sb="15" eb="16">
      <t>メイ</t>
    </rPh>
    <phoneticPr fontId="10"/>
  </si>
  <si>
    <t>⑥H28_手当_処遇改善加算相当額</t>
    <rPh sb="5" eb="7">
      <t>テアテ</t>
    </rPh>
    <rPh sb="8" eb="10">
      <t>ショグウ</t>
    </rPh>
    <rPh sb="10" eb="12">
      <t>カイゼン</t>
    </rPh>
    <rPh sb="12" eb="14">
      <t>カサン</t>
    </rPh>
    <rPh sb="14" eb="16">
      <t>ソウトウ</t>
    </rPh>
    <rPh sb="16" eb="17">
      <t>ガク</t>
    </rPh>
    <phoneticPr fontId="10"/>
  </si>
  <si>
    <t>⑥H28_手当_その他</t>
    <rPh sb="5" eb="7">
      <t>テアテ</t>
    </rPh>
    <rPh sb="10" eb="11">
      <t>タ</t>
    </rPh>
    <phoneticPr fontId="10"/>
  </si>
  <si>
    <t>①H27_年齢</t>
    <rPh sb="5" eb="7">
      <t>ネンレイ</t>
    </rPh>
    <phoneticPr fontId="10"/>
  </si>
  <si>
    <t>①H27_管理職</t>
    <rPh sb="5" eb="7">
      <t>カンリ</t>
    </rPh>
    <rPh sb="7" eb="8">
      <t>ショク</t>
    </rPh>
    <phoneticPr fontId="10"/>
  </si>
  <si>
    <t>①H27_一時金（年間総額）</t>
    <rPh sb="5" eb="8">
      <t>イチジキン</t>
    </rPh>
    <rPh sb="9" eb="11">
      <t>ネンカン</t>
    </rPh>
    <rPh sb="11" eb="13">
      <t>ソウガク</t>
    </rPh>
    <phoneticPr fontId="27"/>
  </si>
  <si>
    <t>②H27_性別</t>
    <rPh sb="5" eb="7">
      <t>セイベツ</t>
    </rPh>
    <phoneticPr fontId="10"/>
  </si>
  <si>
    <t>②H27_年齢</t>
    <rPh sb="5" eb="7">
      <t>ネンレイ</t>
    </rPh>
    <phoneticPr fontId="10"/>
  </si>
  <si>
    <t>②H27_管理職</t>
    <rPh sb="5" eb="7">
      <t>カンリ</t>
    </rPh>
    <rPh sb="7" eb="8">
      <t>ショク</t>
    </rPh>
    <phoneticPr fontId="10"/>
  </si>
  <si>
    <t>②H27_一時金（年間総額）</t>
    <rPh sb="5" eb="8">
      <t>イチジキン</t>
    </rPh>
    <rPh sb="9" eb="11">
      <t>ネンカン</t>
    </rPh>
    <rPh sb="11" eb="13">
      <t>ソウガク</t>
    </rPh>
    <phoneticPr fontId="27"/>
  </si>
  <si>
    <t>③H27_性別</t>
    <rPh sb="5" eb="7">
      <t>セイベツ</t>
    </rPh>
    <phoneticPr fontId="10"/>
  </si>
  <si>
    <t>③H27_年齢</t>
    <rPh sb="5" eb="7">
      <t>ネンレイ</t>
    </rPh>
    <phoneticPr fontId="10"/>
  </si>
  <si>
    <t>③H27_管理職</t>
    <rPh sb="5" eb="7">
      <t>カンリ</t>
    </rPh>
    <rPh sb="7" eb="8">
      <t>ショク</t>
    </rPh>
    <phoneticPr fontId="10"/>
  </si>
  <si>
    <t>③H27_一時金（年間総額）</t>
    <rPh sb="5" eb="8">
      <t>イチジキン</t>
    </rPh>
    <rPh sb="9" eb="11">
      <t>ネンカン</t>
    </rPh>
    <rPh sb="11" eb="13">
      <t>ソウガク</t>
    </rPh>
    <phoneticPr fontId="27"/>
  </si>
  <si>
    <t>④H27_性別</t>
    <rPh sb="5" eb="7">
      <t>セイベツ</t>
    </rPh>
    <phoneticPr fontId="10"/>
  </si>
  <si>
    <t>④H27_年齢</t>
    <rPh sb="5" eb="7">
      <t>ネンレイ</t>
    </rPh>
    <phoneticPr fontId="10"/>
  </si>
  <si>
    <t>④H27_管理職</t>
    <rPh sb="5" eb="7">
      <t>カンリ</t>
    </rPh>
    <rPh sb="7" eb="8">
      <t>ショク</t>
    </rPh>
    <phoneticPr fontId="10"/>
  </si>
  <si>
    <t>④H27_一時金（年間総額）</t>
    <rPh sb="5" eb="8">
      <t>イチジキン</t>
    </rPh>
    <rPh sb="9" eb="11">
      <t>ネンカン</t>
    </rPh>
    <rPh sb="11" eb="13">
      <t>ソウガク</t>
    </rPh>
    <phoneticPr fontId="27"/>
  </si>
  <si>
    <t>⑤H27_性別</t>
    <rPh sb="5" eb="7">
      <t>セイベツ</t>
    </rPh>
    <phoneticPr fontId="10"/>
  </si>
  <si>
    <t>⑤H27_年齢</t>
    <rPh sb="5" eb="7">
      <t>ネンレイ</t>
    </rPh>
    <phoneticPr fontId="10"/>
  </si>
  <si>
    <t>⑤H27_管理職</t>
    <rPh sb="5" eb="7">
      <t>カンリ</t>
    </rPh>
    <rPh sb="7" eb="8">
      <t>ショク</t>
    </rPh>
    <phoneticPr fontId="10"/>
  </si>
  <si>
    <t>⑤H27_一時金（年間総額）</t>
    <rPh sb="5" eb="8">
      <t>イチジキン</t>
    </rPh>
    <rPh sb="9" eb="11">
      <t>ネンカン</t>
    </rPh>
    <rPh sb="11" eb="13">
      <t>ソウガク</t>
    </rPh>
    <phoneticPr fontId="27"/>
  </si>
  <si>
    <t>⑥H27_性別</t>
    <rPh sb="5" eb="7">
      <t>セイベツ</t>
    </rPh>
    <phoneticPr fontId="10"/>
  </si>
  <si>
    <t>⑥H27_年齢</t>
    <rPh sb="5" eb="7">
      <t>ネンレイ</t>
    </rPh>
    <phoneticPr fontId="10"/>
  </si>
  <si>
    <t>⑥H27_管理職</t>
    <rPh sb="5" eb="7">
      <t>カンリ</t>
    </rPh>
    <rPh sb="7" eb="8">
      <t>ショク</t>
    </rPh>
    <phoneticPr fontId="10"/>
  </si>
  <si>
    <t>⑥H27_一時金（年間総額）</t>
    <rPh sb="5" eb="8">
      <t>イチジキン</t>
    </rPh>
    <rPh sb="9" eb="11">
      <t>ネンカン</t>
    </rPh>
    <rPh sb="11" eb="13">
      <t>ソウガク</t>
    </rPh>
    <phoneticPr fontId="27"/>
  </si>
  <si>
    <t>２９．介護職給与_①H27_性別</t>
    <rPh sb="14" eb="16">
      <t>セイベツ</t>
    </rPh>
    <phoneticPr fontId="10"/>
  </si>
  <si>
    <t>⑦H27_性別</t>
    <rPh sb="5" eb="7">
      <t>セイベツ</t>
    </rPh>
    <phoneticPr fontId="10"/>
  </si>
  <si>
    <t>⑦H27_年齢</t>
    <rPh sb="5" eb="7">
      <t>ネンレイ</t>
    </rPh>
    <phoneticPr fontId="10"/>
  </si>
  <si>
    <t>⑦H27_管理職</t>
    <rPh sb="5" eb="7">
      <t>カンリ</t>
    </rPh>
    <rPh sb="7" eb="8">
      <t>ショク</t>
    </rPh>
    <phoneticPr fontId="10"/>
  </si>
  <si>
    <t>⑦H27_本給</t>
    <rPh sb="5" eb="7">
      <t>ホンキュウ</t>
    </rPh>
    <phoneticPr fontId="10"/>
  </si>
  <si>
    <t>⑦H27_諸手当（合計）</t>
    <rPh sb="5" eb="8">
      <t>ショテアテ</t>
    </rPh>
    <rPh sb="9" eb="11">
      <t>ゴウケイ</t>
    </rPh>
    <phoneticPr fontId="10"/>
  </si>
  <si>
    <t>⑦H27_手当_夜勤手当_金額</t>
    <rPh sb="5" eb="7">
      <t>テアテ</t>
    </rPh>
    <rPh sb="8" eb="10">
      <t>ヤキン</t>
    </rPh>
    <rPh sb="10" eb="12">
      <t>テアテ</t>
    </rPh>
    <rPh sb="13" eb="15">
      <t>キンガク</t>
    </rPh>
    <phoneticPr fontId="10"/>
  </si>
  <si>
    <t>⑦H27_手当_夜勤手当_回数</t>
    <rPh sb="5" eb="7">
      <t>テアテ</t>
    </rPh>
    <rPh sb="8" eb="10">
      <t>ヤキン</t>
    </rPh>
    <rPh sb="10" eb="12">
      <t>テアテ</t>
    </rPh>
    <rPh sb="13" eb="15">
      <t>カイスウ</t>
    </rPh>
    <phoneticPr fontId="10"/>
  </si>
  <si>
    <t>⑦H27_手当_時間外手当_金額</t>
    <rPh sb="5" eb="7">
      <t>テアテ</t>
    </rPh>
    <rPh sb="8" eb="11">
      <t>ジカンガイ</t>
    </rPh>
    <rPh sb="11" eb="13">
      <t>テアテ</t>
    </rPh>
    <rPh sb="14" eb="16">
      <t>キンガク</t>
    </rPh>
    <phoneticPr fontId="10"/>
  </si>
  <si>
    <t>⑦H27_手当_時間外手当_時間</t>
    <rPh sb="5" eb="7">
      <t>テアテ</t>
    </rPh>
    <rPh sb="8" eb="11">
      <t>ジカンガイ</t>
    </rPh>
    <rPh sb="11" eb="13">
      <t>テアテ</t>
    </rPh>
    <rPh sb="14" eb="16">
      <t>ジカン</t>
    </rPh>
    <phoneticPr fontId="10"/>
  </si>
  <si>
    <t>⑦H27_手当_資格手当_金額</t>
    <rPh sb="5" eb="7">
      <t>テアテ</t>
    </rPh>
    <rPh sb="8" eb="10">
      <t>シカク</t>
    </rPh>
    <rPh sb="10" eb="12">
      <t>テアテ</t>
    </rPh>
    <rPh sb="13" eb="15">
      <t>キンガク</t>
    </rPh>
    <phoneticPr fontId="10"/>
  </si>
  <si>
    <t>⑦H27_手当_資格手当_資格名</t>
    <rPh sb="5" eb="7">
      <t>テアテ</t>
    </rPh>
    <rPh sb="8" eb="10">
      <t>シカク</t>
    </rPh>
    <rPh sb="10" eb="12">
      <t>テアテ</t>
    </rPh>
    <rPh sb="13" eb="15">
      <t>シカク</t>
    </rPh>
    <rPh sb="15" eb="16">
      <t>メイ</t>
    </rPh>
    <phoneticPr fontId="10"/>
  </si>
  <si>
    <t>⑦H27_手当_処遇改善加算相当額</t>
    <rPh sb="5" eb="7">
      <t>テアテ</t>
    </rPh>
    <rPh sb="8" eb="10">
      <t>ショグウ</t>
    </rPh>
    <rPh sb="10" eb="12">
      <t>カイゼン</t>
    </rPh>
    <rPh sb="12" eb="14">
      <t>カサン</t>
    </rPh>
    <rPh sb="14" eb="16">
      <t>ソウトウ</t>
    </rPh>
    <rPh sb="16" eb="17">
      <t>ガク</t>
    </rPh>
    <phoneticPr fontId="10"/>
  </si>
  <si>
    <t>⑦H27_手当_その他</t>
    <rPh sb="5" eb="7">
      <t>テアテ</t>
    </rPh>
    <rPh sb="10" eb="11">
      <t>タ</t>
    </rPh>
    <phoneticPr fontId="10"/>
  </si>
  <si>
    <t>⑦H27_一時金（年間総額）</t>
    <rPh sb="5" eb="8">
      <t>イチジキン</t>
    </rPh>
    <rPh sb="9" eb="11">
      <t>ネンカン</t>
    </rPh>
    <rPh sb="11" eb="13">
      <t>ソウガク</t>
    </rPh>
    <phoneticPr fontId="27"/>
  </si>
  <si>
    <t>⑦H28_本給</t>
    <rPh sb="5" eb="7">
      <t>ホンキュウ</t>
    </rPh>
    <phoneticPr fontId="10"/>
  </si>
  <si>
    <t>⑦H28_諸手当（合計）</t>
    <rPh sb="5" eb="8">
      <t>ショテアテ</t>
    </rPh>
    <rPh sb="9" eb="11">
      <t>ゴウケイ</t>
    </rPh>
    <phoneticPr fontId="10"/>
  </si>
  <si>
    <t>⑦H28_手当_夜勤手当_金額</t>
    <rPh sb="5" eb="7">
      <t>テアテ</t>
    </rPh>
    <rPh sb="8" eb="10">
      <t>ヤキン</t>
    </rPh>
    <rPh sb="10" eb="12">
      <t>テアテ</t>
    </rPh>
    <rPh sb="13" eb="15">
      <t>キンガク</t>
    </rPh>
    <phoneticPr fontId="10"/>
  </si>
  <si>
    <t>⑦H28_手当_夜勤手当_回数</t>
    <rPh sb="5" eb="7">
      <t>テアテ</t>
    </rPh>
    <rPh sb="8" eb="10">
      <t>ヤキン</t>
    </rPh>
    <rPh sb="10" eb="12">
      <t>テアテ</t>
    </rPh>
    <rPh sb="13" eb="15">
      <t>カイスウ</t>
    </rPh>
    <phoneticPr fontId="10"/>
  </si>
  <si>
    <t>⑦H28_手当_時間外手当_金額</t>
    <rPh sb="5" eb="7">
      <t>テアテ</t>
    </rPh>
    <rPh sb="8" eb="11">
      <t>ジカンガイ</t>
    </rPh>
    <rPh sb="11" eb="13">
      <t>テアテ</t>
    </rPh>
    <rPh sb="14" eb="16">
      <t>キンガク</t>
    </rPh>
    <phoneticPr fontId="10"/>
  </si>
  <si>
    <t>⑦H28_手当_時間外手当_時間</t>
    <rPh sb="5" eb="7">
      <t>テアテ</t>
    </rPh>
    <rPh sb="8" eb="11">
      <t>ジカンガイ</t>
    </rPh>
    <rPh sb="11" eb="13">
      <t>テアテ</t>
    </rPh>
    <rPh sb="14" eb="16">
      <t>ジカン</t>
    </rPh>
    <phoneticPr fontId="10"/>
  </si>
  <si>
    <t>⑦H28_手当_資格手当_金額</t>
    <rPh sb="5" eb="7">
      <t>テアテ</t>
    </rPh>
    <rPh sb="8" eb="10">
      <t>シカク</t>
    </rPh>
    <rPh sb="10" eb="12">
      <t>テアテ</t>
    </rPh>
    <rPh sb="13" eb="15">
      <t>キンガク</t>
    </rPh>
    <phoneticPr fontId="10"/>
  </si>
  <si>
    <t>⑦H28_手当_資格手当_資格名</t>
    <rPh sb="5" eb="7">
      <t>テアテ</t>
    </rPh>
    <rPh sb="8" eb="10">
      <t>シカク</t>
    </rPh>
    <rPh sb="10" eb="12">
      <t>テアテ</t>
    </rPh>
    <rPh sb="13" eb="15">
      <t>シカク</t>
    </rPh>
    <rPh sb="15" eb="16">
      <t>メイ</t>
    </rPh>
    <phoneticPr fontId="10"/>
  </si>
  <si>
    <t>⑦H28_手当_処遇改善加算相当額</t>
    <rPh sb="5" eb="7">
      <t>テアテ</t>
    </rPh>
    <rPh sb="8" eb="10">
      <t>ショグウ</t>
    </rPh>
    <rPh sb="10" eb="12">
      <t>カイゼン</t>
    </rPh>
    <rPh sb="12" eb="14">
      <t>カサン</t>
    </rPh>
    <rPh sb="14" eb="16">
      <t>ソウトウ</t>
    </rPh>
    <rPh sb="16" eb="17">
      <t>ガク</t>
    </rPh>
    <phoneticPr fontId="10"/>
  </si>
  <si>
    <t>⑦H28_手当_その他</t>
    <rPh sb="5" eb="7">
      <t>テアテ</t>
    </rPh>
    <rPh sb="10" eb="11">
      <t>タ</t>
    </rPh>
    <phoneticPr fontId="10"/>
  </si>
  <si>
    <t>３０．職員実人数　  看護_正規_1年未満_20歳未満</t>
    <rPh sb="3" eb="5">
      <t>ショクイン</t>
    </rPh>
    <rPh sb="5" eb="6">
      <t>ジツ</t>
    </rPh>
    <rPh sb="6" eb="8">
      <t>ニンズウ</t>
    </rPh>
    <rPh sb="18" eb="19">
      <t>ネン</t>
    </rPh>
    <rPh sb="19" eb="21">
      <t>ミマン</t>
    </rPh>
    <rPh sb="24" eb="27">
      <t>サイミマン</t>
    </rPh>
    <phoneticPr fontId="10"/>
  </si>
  <si>
    <t>　　　　　看護_正規_1年未満_20代</t>
    <rPh sb="18" eb="19">
      <t>ダイ</t>
    </rPh>
    <phoneticPr fontId="10"/>
  </si>
  <si>
    <t>　　　　　看護_正規_1年未満_30代</t>
    <rPh sb="18" eb="19">
      <t>ダイ</t>
    </rPh>
    <phoneticPr fontId="10"/>
  </si>
  <si>
    <t>　　　　　看護_正規_1年未満_40代</t>
    <rPh sb="18" eb="19">
      <t>ダイ</t>
    </rPh>
    <phoneticPr fontId="10"/>
  </si>
  <si>
    <t>　　　　　看護_正規_1年未満_50代</t>
    <rPh sb="18" eb="19">
      <t>ダイ</t>
    </rPh>
    <phoneticPr fontId="10"/>
  </si>
  <si>
    <t>　　　　　看護_正規_1年未満_60代</t>
    <rPh sb="18" eb="19">
      <t>ダイ</t>
    </rPh>
    <phoneticPr fontId="10"/>
  </si>
  <si>
    <t xml:space="preserve"> 　看護_正規_1年未満_合計</t>
    <rPh sb="13" eb="15">
      <t>ゴウケイ</t>
    </rPh>
    <phoneticPr fontId="10"/>
  </si>
  <si>
    <t>　　　　　看護_正規_2年未満_20歳未満</t>
    <rPh sb="18" eb="21">
      <t>サイミマン</t>
    </rPh>
    <phoneticPr fontId="10"/>
  </si>
  <si>
    <t>　　　　　看護_正規_2年未満_20代</t>
    <rPh sb="18" eb="19">
      <t>ダイ</t>
    </rPh>
    <phoneticPr fontId="10"/>
  </si>
  <si>
    <t>　　　　　看護_正規_2年未満_30代</t>
    <rPh sb="18" eb="19">
      <t>ダイ</t>
    </rPh>
    <phoneticPr fontId="10"/>
  </si>
  <si>
    <t>　　　　　看護_正規_2年未満_40代</t>
    <rPh sb="18" eb="19">
      <t>ダイ</t>
    </rPh>
    <phoneticPr fontId="10"/>
  </si>
  <si>
    <t>　　　　　看護_正規_2年未満_50代</t>
    <rPh sb="18" eb="19">
      <t>ダイ</t>
    </rPh>
    <phoneticPr fontId="10"/>
  </si>
  <si>
    <t>　　　　　看護_正規_2年未満_60代</t>
    <rPh sb="18" eb="19">
      <t>ダイ</t>
    </rPh>
    <phoneticPr fontId="10"/>
  </si>
  <si>
    <t xml:space="preserve"> 　看護_正規_2年未満_合計</t>
    <rPh sb="13" eb="15">
      <t>ゴウケイ</t>
    </rPh>
    <phoneticPr fontId="10"/>
  </si>
  <si>
    <t>　　　　　看護_正規_3年未満_20歳未満</t>
    <rPh sb="18" eb="21">
      <t>サイミマン</t>
    </rPh>
    <phoneticPr fontId="10"/>
  </si>
  <si>
    <t>　　　　　看護_正規_3年未満_20代</t>
    <rPh sb="18" eb="19">
      <t>ダイ</t>
    </rPh>
    <phoneticPr fontId="10"/>
  </si>
  <si>
    <t>　　　　　看護_正規_3年未満_30代</t>
    <rPh sb="18" eb="19">
      <t>ダイ</t>
    </rPh>
    <phoneticPr fontId="10"/>
  </si>
  <si>
    <t>　　　　　看護_正規_3年未満_40代</t>
    <rPh sb="18" eb="19">
      <t>ダイ</t>
    </rPh>
    <phoneticPr fontId="10"/>
  </si>
  <si>
    <t>　　　　　看護_正規_3年未満_50代</t>
    <rPh sb="18" eb="19">
      <t>ダイ</t>
    </rPh>
    <phoneticPr fontId="10"/>
  </si>
  <si>
    <t>　　　　　看護_正規_3年未満_60代</t>
    <rPh sb="18" eb="19">
      <t>ダイ</t>
    </rPh>
    <phoneticPr fontId="10"/>
  </si>
  <si>
    <t xml:space="preserve"> 　看護_正規_3年未満_合計</t>
    <rPh sb="13" eb="15">
      <t>ゴウケイ</t>
    </rPh>
    <phoneticPr fontId="10"/>
  </si>
  <si>
    <t>　　　　　看護_正規_4年未満_20歳未満</t>
    <rPh sb="18" eb="21">
      <t>サイミマン</t>
    </rPh>
    <phoneticPr fontId="10"/>
  </si>
  <si>
    <t>　　　　　看護_正規_4年未満_20代</t>
    <rPh sb="18" eb="19">
      <t>ダイ</t>
    </rPh>
    <phoneticPr fontId="10"/>
  </si>
  <si>
    <t>　　　　　看護_正規_4年未満_30代</t>
    <rPh sb="18" eb="19">
      <t>ダイ</t>
    </rPh>
    <phoneticPr fontId="10"/>
  </si>
  <si>
    <t>　　　　　看護_正規_4年未満_40代</t>
    <rPh sb="18" eb="19">
      <t>ダイ</t>
    </rPh>
    <phoneticPr fontId="10"/>
  </si>
  <si>
    <t>　　　　　看護_正規_4年未満_50代</t>
    <rPh sb="18" eb="19">
      <t>ダイ</t>
    </rPh>
    <phoneticPr fontId="10"/>
  </si>
  <si>
    <t>　　　　　看護_正規_4年未満_60代</t>
    <rPh sb="18" eb="19">
      <t>ダイ</t>
    </rPh>
    <phoneticPr fontId="10"/>
  </si>
  <si>
    <t xml:space="preserve"> 　看護_正規_4年未満_合計</t>
    <rPh sb="13" eb="15">
      <t>ゴウケイ</t>
    </rPh>
    <phoneticPr fontId="10"/>
  </si>
  <si>
    <t>　　　　　看護_正規_5年未満_20歳未満</t>
    <rPh sb="18" eb="21">
      <t>サイミマン</t>
    </rPh>
    <phoneticPr fontId="10"/>
  </si>
  <si>
    <t>　　　　　看護_正規_5年未満_20代</t>
    <rPh sb="18" eb="19">
      <t>ダイ</t>
    </rPh>
    <phoneticPr fontId="10"/>
  </si>
  <si>
    <t>　　　　　看護_正規_5年未満_30代</t>
    <rPh sb="18" eb="19">
      <t>ダイ</t>
    </rPh>
    <phoneticPr fontId="10"/>
  </si>
  <si>
    <t>　　　　　看護_正規_5年未満_40代</t>
    <rPh sb="18" eb="19">
      <t>ダイ</t>
    </rPh>
    <phoneticPr fontId="10"/>
  </si>
  <si>
    <t>　　　　　看護_正規_5年未満_50代</t>
    <rPh sb="18" eb="19">
      <t>ダイ</t>
    </rPh>
    <phoneticPr fontId="10"/>
  </si>
  <si>
    <t>　　　　　看護_正規_5年未満_60代</t>
    <rPh sb="18" eb="19">
      <t>ダイ</t>
    </rPh>
    <phoneticPr fontId="10"/>
  </si>
  <si>
    <t xml:space="preserve"> 　看護_正規_5年未満_合計</t>
    <rPh sb="13" eb="15">
      <t>ゴウケイ</t>
    </rPh>
    <phoneticPr fontId="10"/>
  </si>
  <si>
    <t>　　　　　看護_正規_5～9年未満_20歳未満</t>
    <rPh sb="20" eb="23">
      <t>サイミマン</t>
    </rPh>
    <phoneticPr fontId="10"/>
  </si>
  <si>
    <t>　　　　　看護_正規_5～9年未満_20代</t>
    <rPh sb="20" eb="21">
      <t>ダイ</t>
    </rPh>
    <phoneticPr fontId="10"/>
  </si>
  <si>
    <t>　　　　　看護_正規_5～9年未満_30代</t>
    <rPh sb="20" eb="21">
      <t>ダイ</t>
    </rPh>
    <phoneticPr fontId="10"/>
  </si>
  <si>
    <t>　　　　　看護_正規_5～9年未満_40代</t>
    <rPh sb="20" eb="21">
      <t>ダイ</t>
    </rPh>
    <phoneticPr fontId="10"/>
  </si>
  <si>
    <t>　　　　　看護_正規_5～9年未満_50代</t>
    <rPh sb="20" eb="21">
      <t>ダイ</t>
    </rPh>
    <phoneticPr fontId="10"/>
  </si>
  <si>
    <t>　　　　　看護_正規_5～9年未満_60代</t>
    <rPh sb="20" eb="21">
      <t>ダイ</t>
    </rPh>
    <phoneticPr fontId="10"/>
  </si>
  <si>
    <t xml:space="preserve"> 　看護_正規_5～9年未満_合計</t>
    <rPh sb="15" eb="17">
      <t>ゴウケイ</t>
    </rPh>
    <phoneticPr fontId="10"/>
  </si>
  <si>
    <t>　　　　　看護_正規_10年以上_20歳未満</t>
    <rPh sb="19" eb="22">
      <t>サイミマン</t>
    </rPh>
    <phoneticPr fontId="10"/>
  </si>
  <si>
    <t>　　　　　看護_正規_10年以上_20代</t>
    <rPh sb="19" eb="20">
      <t>ダイ</t>
    </rPh>
    <phoneticPr fontId="10"/>
  </si>
  <si>
    <t>　　　　　看護_正規_10年以上_30代</t>
    <rPh sb="19" eb="20">
      <t>ダイ</t>
    </rPh>
    <phoneticPr fontId="10"/>
  </si>
  <si>
    <t>　　　　　看護_正規_10年以上_40代</t>
    <rPh sb="19" eb="20">
      <t>ダイ</t>
    </rPh>
    <phoneticPr fontId="10"/>
  </si>
  <si>
    <t>　　　　　看護_正規_10年以上_50代</t>
    <rPh sb="19" eb="20">
      <t>ダイ</t>
    </rPh>
    <phoneticPr fontId="10"/>
  </si>
  <si>
    <t>　　　　　看護_正規_10年以上_60代</t>
    <rPh sb="19" eb="20">
      <t>ダイ</t>
    </rPh>
    <phoneticPr fontId="10"/>
  </si>
  <si>
    <t xml:space="preserve"> 　看護_正規_10年以上_合計</t>
    <rPh sb="14" eb="16">
      <t>ゴウケイ</t>
    </rPh>
    <phoneticPr fontId="10"/>
  </si>
  <si>
    <t>　　　　　看護_非正規_1年未満_20歳未満</t>
    <rPh sb="13" eb="14">
      <t>ネン</t>
    </rPh>
    <rPh sb="14" eb="16">
      <t>ミマン</t>
    </rPh>
    <rPh sb="19" eb="22">
      <t>サイミマン</t>
    </rPh>
    <phoneticPr fontId="10"/>
  </si>
  <si>
    <t>　　　　　看護_非正規_1年未満_20代</t>
    <rPh sb="19" eb="20">
      <t>ダイ</t>
    </rPh>
    <phoneticPr fontId="10"/>
  </si>
  <si>
    <t>　　　　　看護_非正規_1年未満_30代</t>
    <rPh sb="19" eb="20">
      <t>ダイ</t>
    </rPh>
    <phoneticPr fontId="10"/>
  </si>
  <si>
    <t>　　　　　看護_非正規_1年未満_40代</t>
    <rPh sb="19" eb="20">
      <t>ダイ</t>
    </rPh>
    <phoneticPr fontId="10"/>
  </si>
  <si>
    <t>　　　　　看護_非正規_1年未満_50代</t>
    <rPh sb="19" eb="20">
      <t>ダイ</t>
    </rPh>
    <phoneticPr fontId="10"/>
  </si>
  <si>
    <t>　　　　　看護_非正規_1年未満_60代</t>
    <rPh sb="19" eb="20">
      <t>ダイ</t>
    </rPh>
    <phoneticPr fontId="10"/>
  </si>
  <si>
    <t xml:space="preserve"> 　看護_非正規_1年未満_合計</t>
    <rPh sb="14" eb="16">
      <t>ゴウケイ</t>
    </rPh>
    <phoneticPr fontId="10"/>
  </si>
  <si>
    <t>　　　　　看護_非正規_2年未満_20歳未満</t>
    <rPh sb="19" eb="22">
      <t>サイミマン</t>
    </rPh>
    <phoneticPr fontId="10"/>
  </si>
  <si>
    <t>　　　　　看護_非正規_2年未満_20代</t>
    <rPh sb="19" eb="20">
      <t>ダイ</t>
    </rPh>
    <phoneticPr fontId="10"/>
  </si>
  <si>
    <t>　　　　　看護_非正規_2年未満_30代</t>
    <rPh sb="19" eb="20">
      <t>ダイ</t>
    </rPh>
    <phoneticPr fontId="10"/>
  </si>
  <si>
    <t>　　　　　看護_非正規_2年未満_40代</t>
    <rPh sb="19" eb="20">
      <t>ダイ</t>
    </rPh>
    <phoneticPr fontId="10"/>
  </si>
  <si>
    <t>　　　　　看護_非正規_2年未満_50代</t>
    <rPh sb="19" eb="20">
      <t>ダイ</t>
    </rPh>
    <phoneticPr fontId="10"/>
  </si>
  <si>
    <t>　　　　　看護_非正規_2年未満_60代</t>
    <rPh sb="19" eb="20">
      <t>ダイ</t>
    </rPh>
    <phoneticPr fontId="10"/>
  </si>
  <si>
    <t xml:space="preserve"> 　看護_非正規_2年未満_合計</t>
    <rPh sb="14" eb="16">
      <t>ゴウケイ</t>
    </rPh>
    <phoneticPr fontId="10"/>
  </si>
  <si>
    <t>　　　　　看護_非正規_3年未満_20歳未満</t>
    <rPh sb="19" eb="22">
      <t>サイミマン</t>
    </rPh>
    <phoneticPr fontId="10"/>
  </si>
  <si>
    <t>　　　　　看護_非正規_3年未満_20代</t>
    <rPh sb="19" eb="20">
      <t>ダイ</t>
    </rPh>
    <phoneticPr fontId="10"/>
  </si>
  <si>
    <t>　　　　　看護_非正規_3年未満_30代</t>
    <rPh sb="19" eb="20">
      <t>ダイ</t>
    </rPh>
    <phoneticPr fontId="10"/>
  </si>
  <si>
    <t>　　　　　看護_非正規_3年未満_40代</t>
    <rPh sb="19" eb="20">
      <t>ダイ</t>
    </rPh>
    <phoneticPr fontId="10"/>
  </si>
  <si>
    <t>　　　　　看護_非正規_3年未満_50代</t>
    <rPh sb="19" eb="20">
      <t>ダイ</t>
    </rPh>
    <phoneticPr fontId="10"/>
  </si>
  <si>
    <t>　　　　　看護_非正規_3年未満_60代</t>
    <rPh sb="19" eb="20">
      <t>ダイ</t>
    </rPh>
    <phoneticPr fontId="10"/>
  </si>
  <si>
    <t xml:space="preserve"> 　看護_非正規_3年未満_合計</t>
    <rPh sb="14" eb="16">
      <t>ゴウケイ</t>
    </rPh>
    <phoneticPr fontId="10"/>
  </si>
  <si>
    <t>　　　　　看護_非正規_4年未満_20歳未満</t>
    <rPh sb="19" eb="22">
      <t>サイミマン</t>
    </rPh>
    <phoneticPr fontId="10"/>
  </si>
  <si>
    <t>　　　　　看護_非正規_4年未満_20代</t>
    <rPh sb="19" eb="20">
      <t>ダイ</t>
    </rPh>
    <phoneticPr fontId="10"/>
  </si>
  <si>
    <t>　　　　　看護_非正規_4年未満_30代</t>
    <rPh sb="19" eb="20">
      <t>ダイ</t>
    </rPh>
    <phoneticPr fontId="10"/>
  </si>
  <si>
    <t>　　　　　看護_非正規_4年未満_40代</t>
    <rPh sb="19" eb="20">
      <t>ダイ</t>
    </rPh>
    <phoneticPr fontId="10"/>
  </si>
  <si>
    <t>　　　　　看護_非正規_4年未満_50代</t>
    <rPh sb="19" eb="20">
      <t>ダイ</t>
    </rPh>
    <phoneticPr fontId="10"/>
  </si>
  <si>
    <t>　　　　　看護_非正規_4年未満_60代</t>
    <rPh sb="19" eb="20">
      <t>ダイ</t>
    </rPh>
    <phoneticPr fontId="10"/>
  </si>
  <si>
    <t xml:space="preserve"> 　看護_非正規_4年未満_合計</t>
    <rPh sb="14" eb="16">
      <t>ゴウケイ</t>
    </rPh>
    <phoneticPr fontId="10"/>
  </si>
  <si>
    <t>　　　　　看護_非正規_5年未満_20歳未満</t>
    <rPh sb="19" eb="22">
      <t>サイミマン</t>
    </rPh>
    <phoneticPr fontId="10"/>
  </si>
  <si>
    <t>　　　　　看護_非正規_5年未満_20代</t>
    <rPh sb="19" eb="20">
      <t>ダイ</t>
    </rPh>
    <phoneticPr fontId="10"/>
  </si>
  <si>
    <t>　　　　　看護_非正規_5年未満_30代</t>
    <rPh sb="19" eb="20">
      <t>ダイ</t>
    </rPh>
    <phoneticPr fontId="10"/>
  </si>
  <si>
    <t>　　　　　看護_非正規_5年未満_40代</t>
    <rPh sb="19" eb="20">
      <t>ダイ</t>
    </rPh>
    <phoneticPr fontId="10"/>
  </si>
  <si>
    <t>　　　　　看護_非正規_5年未満_50代</t>
    <rPh sb="19" eb="20">
      <t>ダイ</t>
    </rPh>
    <phoneticPr fontId="10"/>
  </si>
  <si>
    <t>　　　　　看護_非正規_5年未満_60代</t>
    <rPh sb="19" eb="20">
      <t>ダイ</t>
    </rPh>
    <phoneticPr fontId="10"/>
  </si>
  <si>
    <t xml:space="preserve"> 　看護_非正規_5年未満_合計</t>
    <rPh sb="14" eb="16">
      <t>ゴウケイ</t>
    </rPh>
    <phoneticPr fontId="10"/>
  </si>
  <si>
    <t>　　　　　看護_非正規_5～9年未満_20歳未満</t>
    <rPh sb="21" eb="24">
      <t>サイミマン</t>
    </rPh>
    <phoneticPr fontId="10"/>
  </si>
  <si>
    <t>　　　　　看護_非正規_5～9年未満_20代</t>
    <rPh sb="21" eb="22">
      <t>ダイ</t>
    </rPh>
    <phoneticPr fontId="10"/>
  </si>
  <si>
    <t>　　　　　看護_非正規_5～9年未満_30代</t>
    <rPh sb="21" eb="22">
      <t>ダイ</t>
    </rPh>
    <phoneticPr fontId="10"/>
  </si>
  <si>
    <t>　　　　　看護_非正規_5～9年未満_40代</t>
    <rPh sb="21" eb="22">
      <t>ダイ</t>
    </rPh>
    <phoneticPr fontId="10"/>
  </si>
  <si>
    <t>　　　　　看護_非正規_5～9年未満_50代</t>
    <rPh sb="21" eb="22">
      <t>ダイ</t>
    </rPh>
    <phoneticPr fontId="10"/>
  </si>
  <si>
    <t>　　　　　看護_非正規_5～9年未満_60代</t>
    <rPh sb="21" eb="22">
      <t>ダイ</t>
    </rPh>
    <phoneticPr fontId="10"/>
  </si>
  <si>
    <t xml:space="preserve"> 　看護_非正規_5～9年未満_合計</t>
    <rPh sb="16" eb="18">
      <t>ゴウケイ</t>
    </rPh>
    <phoneticPr fontId="10"/>
  </si>
  <si>
    <t>　　　　　看護_非正規_10年以上_20歳未満</t>
    <rPh sb="20" eb="23">
      <t>サイミマン</t>
    </rPh>
    <phoneticPr fontId="10"/>
  </si>
  <si>
    <t>　　　　　看護_非正規_10年以上_20代</t>
    <rPh sb="20" eb="21">
      <t>ダイ</t>
    </rPh>
    <phoneticPr fontId="10"/>
  </si>
  <si>
    <t>　　　　　看護_非正規_10年以上_30代</t>
    <rPh sb="20" eb="21">
      <t>ダイ</t>
    </rPh>
    <phoneticPr fontId="10"/>
  </si>
  <si>
    <t>　　　　　看護_非正規_10年以上_40代</t>
    <rPh sb="20" eb="21">
      <t>ダイ</t>
    </rPh>
    <phoneticPr fontId="10"/>
  </si>
  <si>
    <t>　　　　　看護_非正規_10年以上_50代</t>
    <rPh sb="20" eb="21">
      <t>ダイ</t>
    </rPh>
    <phoneticPr fontId="10"/>
  </si>
  <si>
    <t>　　　　　看護_非正規_10年以上_60代</t>
    <rPh sb="20" eb="21">
      <t>ダイ</t>
    </rPh>
    <phoneticPr fontId="10"/>
  </si>
  <si>
    <t xml:space="preserve"> 　看護_非正規_10年以上_合計</t>
    <rPh sb="15" eb="17">
      <t>ゴウケイ</t>
    </rPh>
    <phoneticPr fontId="10"/>
  </si>
  <si>
    <t>３０・正規看護職の給与_1年未満_年齢</t>
    <rPh sb="3" eb="5">
      <t>セイキ</t>
    </rPh>
    <rPh sb="5" eb="7">
      <t>カンゴ</t>
    </rPh>
    <rPh sb="7" eb="8">
      <t>ショク</t>
    </rPh>
    <rPh sb="9" eb="11">
      <t>キュウヨ</t>
    </rPh>
    <rPh sb="13" eb="14">
      <t>ネン</t>
    </rPh>
    <rPh sb="14" eb="16">
      <t>ミマン</t>
    </rPh>
    <rPh sb="17" eb="19">
      <t>ネンレイ</t>
    </rPh>
    <phoneticPr fontId="27"/>
  </si>
  <si>
    <t>1年未満_免許区分</t>
    <rPh sb="1" eb="2">
      <t>ネン</t>
    </rPh>
    <rPh sb="2" eb="4">
      <t>ミマン</t>
    </rPh>
    <rPh sb="5" eb="7">
      <t>メンキョ</t>
    </rPh>
    <rPh sb="7" eb="9">
      <t>クブン</t>
    </rPh>
    <phoneticPr fontId="27"/>
  </si>
  <si>
    <t>1年未満_①本給</t>
    <rPh sb="1" eb="2">
      <t>ネン</t>
    </rPh>
    <rPh sb="2" eb="4">
      <t>ミマン</t>
    </rPh>
    <rPh sb="6" eb="8">
      <t>ホンキュウ</t>
    </rPh>
    <phoneticPr fontId="27"/>
  </si>
  <si>
    <t>1年未満_②諸手当合計</t>
    <rPh sb="1" eb="2">
      <t>ネン</t>
    </rPh>
    <rPh sb="2" eb="4">
      <t>ミマン</t>
    </rPh>
    <rPh sb="6" eb="9">
      <t>ショテアテ</t>
    </rPh>
    <rPh sb="9" eb="11">
      <t>ゴウケイ</t>
    </rPh>
    <phoneticPr fontId="27"/>
  </si>
  <si>
    <t>1年未満_③内、資格手当（職務手当）</t>
    <rPh sb="1" eb="2">
      <t>ネン</t>
    </rPh>
    <rPh sb="2" eb="4">
      <t>ミマン</t>
    </rPh>
    <rPh sb="6" eb="7">
      <t>ウチ</t>
    </rPh>
    <rPh sb="8" eb="10">
      <t>シカク</t>
    </rPh>
    <rPh sb="10" eb="12">
      <t>テアテ</t>
    </rPh>
    <rPh sb="13" eb="15">
      <t>ショクム</t>
    </rPh>
    <rPh sb="15" eb="17">
      <t>テアテ</t>
    </rPh>
    <phoneticPr fontId="27"/>
  </si>
  <si>
    <t>1年未満_合計</t>
    <rPh sb="1" eb="2">
      <t>ネン</t>
    </rPh>
    <rPh sb="2" eb="4">
      <t>ミマン</t>
    </rPh>
    <rPh sb="5" eb="7">
      <t>ゴウケイ</t>
    </rPh>
    <phoneticPr fontId="27"/>
  </si>
  <si>
    <t>1～2年未満未満_年齢</t>
    <rPh sb="6" eb="8">
      <t>ミマン</t>
    </rPh>
    <rPh sb="9" eb="11">
      <t>ネンレイ</t>
    </rPh>
    <phoneticPr fontId="27"/>
  </si>
  <si>
    <t>1～2年未満未満_免許区分</t>
    <rPh sb="6" eb="8">
      <t>ミマン</t>
    </rPh>
    <rPh sb="9" eb="11">
      <t>メンキョ</t>
    </rPh>
    <rPh sb="11" eb="13">
      <t>クブン</t>
    </rPh>
    <phoneticPr fontId="27"/>
  </si>
  <si>
    <t>1～2年未満未満_①本給</t>
    <rPh sb="6" eb="8">
      <t>ミマン</t>
    </rPh>
    <rPh sb="10" eb="12">
      <t>ホンキュウ</t>
    </rPh>
    <phoneticPr fontId="27"/>
  </si>
  <si>
    <t>1～2年未満未満_②諸手当合計</t>
    <rPh sb="6" eb="8">
      <t>ミマン</t>
    </rPh>
    <rPh sb="10" eb="13">
      <t>ショテアテ</t>
    </rPh>
    <rPh sb="13" eb="15">
      <t>ゴウケイ</t>
    </rPh>
    <phoneticPr fontId="27"/>
  </si>
  <si>
    <t>1～2年未満未満_③内、資格手当（職務手当）</t>
    <rPh sb="6" eb="8">
      <t>ミマン</t>
    </rPh>
    <rPh sb="10" eb="11">
      <t>ウチ</t>
    </rPh>
    <rPh sb="12" eb="14">
      <t>シカク</t>
    </rPh>
    <rPh sb="14" eb="16">
      <t>テアテ</t>
    </rPh>
    <rPh sb="17" eb="19">
      <t>ショクム</t>
    </rPh>
    <rPh sb="19" eb="21">
      <t>テアテ</t>
    </rPh>
    <phoneticPr fontId="27"/>
  </si>
  <si>
    <t>1～2年未満未満_合計</t>
    <rPh sb="6" eb="8">
      <t>ミマン</t>
    </rPh>
    <rPh sb="9" eb="11">
      <t>ゴウケイ</t>
    </rPh>
    <phoneticPr fontId="27"/>
  </si>
  <si>
    <t>2～3年未満未満_年齢</t>
    <rPh sb="6" eb="8">
      <t>ミマン</t>
    </rPh>
    <rPh sb="9" eb="11">
      <t>ネンレイ</t>
    </rPh>
    <phoneticPr fontId="27"/>
  </si>
  <si>
    <t>2～3年未満未満_免許区分</t>
    <rPh sb="6" eb="8">
      <t>ミマン</t>
    </rPh>
    <rPh sb="9" eb="11">
      <t>メンキョ</t>
    </rPh>
    <rPh sb="11" eb="13">
      <t>クブン</t>
    </rPh>
    <phoneticPr fontId="27"/>
  </si>
  <si>
    <t>2～3年未満未満_①本給</t>
    <rPh sb="6" eb="8">
      <t>ミマン</t>
    </rPh>
    <rPh sb="10" eb="12">
      <t>ホンキュウ</t>
    </rPh>
    <phoneticPr fontId="27"/>
  </si>
  <si>
    <t>2～3年未満未満_②諸手当合計</t>
    <rPh sb="6" eb="8">
      <t>ミマン</t>
    </rPh>
    <rPh sb="10" eb="13">
      <t>ショテアテ</t>
    </rPh>
    <rPh sb="13" eb="15">
      <t>ゴウケイ</t>
    </rPh>
    <phoneticPr fontId="27"/>
  </si>
  <si>
    <t>2～3年未満未満_③内、資格手当（職務手当）</t>
    <rPh sb="6" eb="8">
      <t>ミマン</t>
    </rPh>
    <rPh sb="10" eb="11">
      <t>ウチ</t>
    </rPh>
    <rPh sb="12" eb="14">
      <t>シカク</t>
    </rPh>
    <rPh sb="14" eb="16">
      <t>テアテ</t>
    </rPh>
    <rPh sb="17" eb="19">
      <t>ショクム</t>
    </rPh>
    <rPh sb="19" eb="21">
      <t>テアテ</t>
    </rPh>
    <phoneticPr fontId="27"/>
  </si>
  <si>
    <t>2～3年未満未満_合計</t>
    <rPh sb="6" eb="8">
      <t>ミマン</t>
    </rPh>
    <rPh sb="9" eb="11">
      <t>ゴウケイ</t>
    </rPh>
    <phoneticPr fontId="27"/>
  </si>
  <si>
    <t>3～4年未満未満_年齢</t>
    <rPh sb="6" eb="8">
      <t>ミマン</t>
    </rPh>
    <rPh sb="9" eb="11">
      <t>ネンレイ</t>
    </rPh>
    <phoneticPr fontId="27"/>
  </si>
  <si>
    <t>3～4年未満未満_免許区分</t>
    <rPh sb="6" eb="8">
      <t>ミマン</t>
    </rPh>
    <rPh sb="9" eb="11">
      <t>メンキョ</t>
    </rPh>
    <rPh sb="11" eb="13">
      <t>クブン</t>
    </rPh>
    <phoneticPr fontId="27"/>
  </si>
  <si>
    <t>3～4年未満未満_①本給</t>
    <rPh sb="6" eb="8">
      <t>ミマン</t>
    </rPh>
    <rPh sb="10" eb="12">
      <t>ホンキュウ</t>
    </rPh>
    <phoneticPr fontId="27"/>
  </si>
  <si>
    <t>3～4年未満未満_②諸手当合計</t>
    <rPh sb="6" eb="8">
      <t>ミマン</t>
    </rPh>
    <rPh sb="10" eb="13">
      <t>ショテアテ</t>
    </rPh>
    <rPh sb="13" eb="15">
      <t>ゴウケイ</t>
    </rPh>
    <phoneticPr fontId="27"/>
  </si>
  <si>
    <t>3～4年未満未満_③内、資格手当（職務手当）</t>
    <rPh sb="6" eb="8">
      <t>ミマン</t>
    </rPh>
    <rPh sb="10" eb="11">
      <t>ウチ</t>
    </rPh>
    <rPh sb="12" eb="14">
      <t>シカク</t>
    </rPh>
    <rPh sb="14" eb="16">
      <t>テアテ</t>
    </rPh>
    <rPh sb="17" eb="19">
      <t>ショクム</t>
    </rPh>
    <rPh sb="19" eb="21">
      <t>テアテ</t>
    </rPh>
    <phoneticPr fontId="27"/>
  </si>
  <si>
    <t>3～4年未満未満_合計</t>
    <rPh sb="6" eb="8">
      <t>ミマン</t>
    </rPh>
    <rPh sb="9" eb="11">
      <t>ゴウケイ</t>
    </rPh>
    <phoneticPr fontId="27"/>
  </si>
  <si>
    <t>4～5年未満未満_年齢</t>
    <rPh sb="6" eb="8">
      <t>ミマン</t>
    </rPh>
    <rPh sb="9" eb="11">
      <t>ネンレイ</t>
    </rPh>
    <phoneticPr fontId="27"/>
  </si>
  <si>
    <t>4～5年未満未満_免許区分</t>
    <rPh sb="6" eb="8">
      <t>ミマン</t>
    </rPh>
    <rPh sb="9" eb="11">
      <t>メンキョ</t>
    </rPh>
    <rPh sb="11" eb="13">
      <t>クブン</t>
    </rPh>
    <phoneticPr fontId="27"/>
  </si>
  <si>
    <t>4～5年未満未満_①本給</t>
    <rPh sb="6" eb="8">
      <t>ミマン</t>
    </rPh>
    <rPh sb="10" eb="12">
      <t>ホンキュウ</t>
    </rPh>
    <phoneticPr fontId="27"/>
  </si>
  <si>
    <t>4～5年未満未満_②諸手当合計</t>
    <rPh sb="6" eb="8">
      <t>ミマン</t>
    </rPh>
    <rPh sb="10" eb="13">
      <t>ショテアテ</t>
    </rPh>
    <rPh sb="13" eb="15">
      <t>ゴウケイ</t>
    </rPh>
    <phoneticPr fontId="27"/>
  </si>
  <si>
    <t>4～5年未満未満_③内、資格手当（職務手当）</t>
    <rPh sb="6" eb="8">
      <t>ミマン</t>
    </rPh>
    <rPh sb="10" eb="11">
      <t>ウチ</t>
    </rPh>
    <rPh sb="12" eb="14">
      <t>シカク</t>
    </rPh>
    <rPh sb="14" eb="16">
      <t>テアテ</t>
    </rPh>
    <rPh sb="17" eb="19">
      <t>ショクム</t>
    </rPh>
    <rPh sb="19" eb="21">
      <t>テアテ</t>
    </rPh>
    <phoneticPr fontId="27"/>
  </si>
  <si>
    <t>4～5年未満未満_合計</t>
    <rPh sb="6" eb="8">
      <t>ミマン</t>
    </rPh>
    <rPh sb="9" eb="11">
      <t>ゴウケイ</t>
    </rPh>
    <phoneticPr fontId="27"/>
  </si>
  <si>
    <t>5～10年未満未満_年齢</t>
    <rPh sb="7" eb="9">
      <t>ミマン</t>
    </rPh>
    <rPh sb="10" eb="12">
      <t>ネンレイ</t>
    </rPh>
    <phoneticPr fontId="27"/>
  </si>
  <si>
    <t>5～10年未満未満_免許区分</t>
    <rPh sb="7" eb="9">
      <t>ミマン</t>
    </rPh>
    <rPh sb="10" eb="12">
      <t>メンキョ</t>
    </rPh>
    <rPh sb="12" eb="14">
      <t>クブン</t>
    </rPh>
    <phoneticPr fontId="27"/>
  </si>
  <si>
    <t>5～10年未満未満_①本給</t>
    <rPh sb="7" eb="9">
      <t>ミマン</t>
    </rPh>
    <rPh sb="11" eb="13">
      <t>ホンキュウ</t>
    </rPh>
    <phoneticPr fontId="27"/>
  </si>
  <si>
    <t>5～10年未満未満_②諸手当合計</t>
    <rPh sb="7" eb="9">
      <t>ミマン</t>
    </rPh>
    <rPh sb="11" eb="14">
      <t>ショテアテ</t>
    </rPh>
    <rPh sb="14" eb="16">
      <t>ゴウケイ</t>
    </rPh>
    <phoneticPr fontId="27"/>
  </si>
  <si>
    <t>5～10年未満未満_③内、資格手当（職務手当）</t>
    <rPh sb="7" eb="9">
      <t>ミマン</t>
    </rPh>
    <rPh sb="11" eb="12">
      <t>ウチ</t>
    </rPh>
    <rPh sb="13" eb="15">
      <t>シカク</t>
    </rPh>
    <rPh sb="15" eb="17">
      <t>テアテ</t>
    </rPh>
    <rPh sb="18" eb="20">
      <t>ショクム</t>
    </rPh>
    <rPh sb="20" eb="22">
      <t>テアテ</t>
    </rPh>
    <phoneticPr fontId="27"/>
  </si>
  <si>
    <t>5～10年未満未満_合計</t>
    <rPh sb="7" eb="9">
      <t>ミマン</t>
    </rPh>
    <rPh sb="10" eb="12">
      <t>ゴウケイ</t>
    </rPh>
    <phoneticPr fontId="27"/>
  </si>
  <si>
    <t>10年以上未満_年齢</t>
    <rPh sb="5" eb="7">
      <t>ミマン</t>
    </rPh>
    <rPh sb="8" eb="10">
      <t>ネンレイ</t>
    </rPh>
    <phoneticPr fontId="27"/>
  </si>
  <si>
    <t>10年以上未満_免許区分</t>
    <rPh sb="5" eb="7">
      <t>ミマン</t>
    </rPh>
    <rPh sb="8" eb="10">
      <t>メンキョ</t>
    </rPh>
    <rPh sb="10" eb="12">
      <t>クブン</t>
    </rPh>
    <phoneticPr fontId="27"/>
  </si>
  <si>
    <t>10年以上未満_①本給</t>
    <rPh sb="5" eb="7">
      <t>ミマン</t>
    </rPh>
    <rPh sb="9" eb="11">
      <t>ホンキュウ</t>
    </rPh>
    <phoneticPr fontId="27"/>
  </si>
  <si>
    <t>10年以上未満_②諸手当合計</t>
    <rPh sb="5" eb="7">
      <t>ミマン</t>
    </rPh>
    <rPh sb="9" eb="12">
      <t>ショテアテ</t>
    </rPh>
    <rPh sb="12" eb="14">
      <t>ゴウケイ</t>
    </rPh>
    <phoneticPr fontId="27"/>
  </si>
  <si>
    <t>10年以上未満_③内、資格手当（職務手当）</t>
    <rPh sb="5" eb="7">
      <t>ミマン</t>
    </rPh>
    <rPh sb="9" eb="10">
      <t>ウチ</t>
    </rPh>
    <rPh sb="11" eb="13">
      <t>シカク</t>
    </rPh>
    <rPh sb="13" eb="15">
      <t>テアテ</t>
    </rPh>
    <rPh sb="16" eb="18">
      <t>ショクム</t>
    </rPh>
    <rPh sb="18" eb="20">
      <t>テアテ</t>
    </rPh>
    <phoneticPr fontId="27"/>
  </si>
  <si>
    <t>10年以上未満_合計</t>
    <rPh sb="5" eb="7">
      <t>ミマン</t>
    </rPh>
    <rPh sb="8" eb="10">
      <t>ゴウケイ</t>
    </rPh>
    <phoneticPr fontId="27"/>
  </si>
  <si>
    <t>３２・医師の配置状況</t>
    <rPh sb="3" eb="5">
      <t>イシ</t>
    </rPh>
    <rPh sb="6" eb="8">
      <t>ハイチ</t>
    </rPh>
    <rPh sb="8" eb="10">
      <t>ジョウキョウ</t>
    </rPh>
    <phoneticPr fontId="27"/>
  </si>
  <si>
    <t>年間給与</t>
    <rPh sb="0" eb="2">
      <t>ネンカン</t>
    </rPh>
    <rPh sb="2" eb="4">
      <t>キュウヨ</t>
    </rPh>
    <phoneticPr fontId="27"/>
  </si>
  <si>
    <t>５・地域区分_級地</t>
    <rPh sb="7" eb="8">
      <t>キュウ</t>
    </rPh>
    <rPh sb="8" eb="9">
      <t>チ</t>
    </rPh>
    <phoneticPr fontId="10"/>
  </si>
  <si>
    <t>地域①</t>
    <rPh sb="0" eb="2">
      <t>チイキ</t>
    </rPh>
    <phoneticPr fontId="27"/>
  </si>
  <si>
    <t>地域②</t>
    <rPh sb="0" eb="2">
      <t>チイキ</t>
    </rPh>
    <phoneticPr fontId="27"/>
  </si>
  <si>
    <t>その他事務等の内容</t>
    <rPh sb="2" eb="3">
      <t>タ</t>
    </rPh>
    <rPh sb="3" eb="6">
      <t>ジムナド</t>
    </rPh>
    <rPh sb="7" eb="9">
      <t>ナイヨウ</t>
    </rPh>
    <phoneticPr fontId="27"/>
  </si>
  <si>
    <t>合計</t>
    <rPh sb="0" eb="2">
      <t>ゴウケイ</t>
    </rPh>
    <phoneticPr fontId="27"/>
  </si>
  <si>
    <t>⑦回答内容に補足が必要な場合は、備考欄に記載してください。</t>
    <rPh sb="1" eb="3">
      <t>カイトウ</t>
    </rPh>
    <rPh sb="3" eb="5">
      <t>ナイヨウ</t>
    </rPh>
    <rPh sb="6" eb="8">
      <t>ホソク</t>
    </rPh>
    <rPh sb="9" eb="11">
      <t>ヒツヨウ</t>
    </rPh>
    <rPh sb="12" eb="14">
      <t>バアイ</t>
    </rPh>
    <rPh sb="16" eb="18">
      <t>ビコウ</t>
    </rPh>
    <rPh sb="18" eb="19">
      <t>ラン</t>
    </rPh>
    <rPh sb="20" eb="22">
      <t>キサイ</t>
    </rPh>
    <phoneticPr fontId="10"/>
  </si>
  <si>
    <t>〒140－0001　東京都品川区北品川4－7－35　御殿山トラストタワー9階</t>
    <rPh sb="13" eb="16">
      <t>シナガワク</t>
    </rPh>
    <rPh sb="16" eb="19">
      <t>キタシナガワ</t>
    </rPh>
    <rPh sb="26" eb="29">
      <t>ゴテンヤマ</t>
    </rPh>
    <rPh sb="37" eb="38">
      <t>カイ</t>
    </rPh>
    <phoneticPr fontId="10"/>
  </si>
  <si>
    <t>＜採用者の状況（年間）＞</t>
    <rPh sb="1" eb="4">
      <t>サイヨウシャ</t>
    </rPh>
    <rPh sb="5" eb="7">
      <t>ジョウキョウ</t>
    </rPh>
    <rPh sb="8" eb="10">
      <t>ネンカン</t>
    </rPh>
    <phoneticPr fontId="10"/>
  </si>
  <si>
    <t>＜退職者の状況（年間）＞</t>
    <rPh sb="1" eb="4">
      <t>タイショクシャ</t>
    </rPh>
    <rPh sb="5" eb="7">
      <t>ジョウキョウ</t>
    </rPh>
    <rPh sb="8" eb="10">
      <t>ネンカン</t>
    </rPh>
    <phoneticPr fontId="10"/>
  </si>
  <si>
    <t>⑥　5年～10年未満（勤続5年～9年11か月）　</t>
    <rPh sb="8" eb="10">
      <t>ミマン</t>
    </rPh>
    <phoneticPr fontId="10"/>
  </si>
  <si>
    <t>-</t>
    <phoneticPr fontId="10"/>
  </si>
  <si>
    <t>⇒　　1年間の増減差　　⇒</t>
    <rPh sb="4" eb="6">
      <t>ネンカン</t>
    </rPh>
    <rPh sb="7" eb="9">
      <t>ゾウゲン</t>
    </rPh>
    <rPh sb="9" eb="10">
      <t>サ</t>
    </rPh>
    <phoneticPr fontId="10"/>
  </si>
  <si>
    <t>-</t>
    <phoneticPr fontId="10"/>
  </si>
  <si>
    <t>-</t>
    <phoneticPr fontId="10"/>
  </si>
  <si>
    <t>-</t>
    <phoneticPr fontId="10"/>
  </si>
  <si>
    <t>※利用者居室フロアの階層を指す。
例：3階建てで、入所フロアが2階と3階であれば、「2階建て」を選択。</t>
    <rPh sb="1" eb="4">
      <t>リヨウシャ</t>
    </rPh>
    <rPh sb="4" eb="6">
      <t>キョシツ</t>
    </rPh>
    <rPh sb="10" eb="12">
      <t>カイソウ</t>
    </rPh>
    <rPh sb="13" eb="14">
      <t>サ</t>
    </rPh>
    <rPh sb="17" eb="18">
      <t>レイ</t>
    </rPh>
    <rPh sb="20" eb="21">
      <t>カイ</t>
    </rPh>
    <rPh sb="21" eb="22">
      <t>タ</t>
    </rPh>
    <rPh sb="25" eb="27">
      <t>ニュウショ</t>
    </rPh>
    <rPh sb="32" eb="33">
      <t>カイ</t>
    </rPh>
    <rPh sb="35" eb="36">
      <t>カイ</t>
    </rPh>
    <rPh sb="43" eb="44">
      <t>カイ</t>
    </rPh>
    <rPh sb="44" eb="45">
      <t>ダ</t>
    </rPh>
    <rPh sb="48" eb="50">
      <t>センタク</t>
    </rPh>
    <phoneticPr fontId="10"/>
  </si>
  <si>
    <r>
      <t>※退所者の</t>
    </r>
    <r>
      <rPr>
        <b/>
        <u/>
        <sz val="11"/>
        <color theme="1"/>
        <rFont val="ＭＳ Ｐ明朝"/>
        <family val="1"/>
        <charset val="128"/>
      </rPr>
      <t>「年間人数」</t>
    </r>
    <r>
      <rPr>
        <sz val="11"/>
        <color theme="1"/>
        <rFont val="ＭＳ Ｐ明朝"/>
        <family val="1"/>
        <charset val="128"/>
      </rPr>
      <t>をご記入ください。</t>
    </r>
    <rPh sb="1" eb="3">
      <t>タイショ</t>
    </rPh>
    <rPh sb="3" eb="4">
      <t>モノ</t>
    </rPh>
    <rPh sb="6" eb="8">
      <t>ネンカン</t>
    </rPh>
    <rPh sb="8" eb="10">
      <t>ニンズウ</t>
    </rPh>
    <rPh sb="13" eb="15">
      <t>キニュウ</t>
    </rPh>
    <phoneticPr fontId="10"/>
  </si>
  <si>
    <t>円/月</t>
    <rPh sb="2" eb="3">
      <t>ツキ</t>
    </rPh>
    <phoneticPr fontId="10"/>
  </si>
  <si>
    <t>円/年</t>
    <rPh sb="2" eb="3">
      <t>ネン</t>
    </rPh>
    <phoneticPr fontId="10"/>
  </si>
  <si>
    <r>
      <t>「その他（事務職員等）」は、施設の運営に関わる職員のうち、「介護職員」「看護職員」「理学療法士・作業療法士、言語聴覚士」「調理職員」を</t>
    </r>
    <r>
      <rPr>
        <b/>
        <u/>
        <sz val="11"/>
        <color indexed="8"/>
        <rFont val="ＭＳ Ｐ明朝"/>
        <family val="1"/>
        <charset val="128"/>
      </rPr>
      <t>除く職員（施設長・事務職員・生活相談員・介護支援専門員・管理栄養士・機能訓練指導員・清掃員・警備員等）</t>
    </r>
    <r>
      <rPr>
        <sz val="11"/>
        <color theme="1"/>
        <rFont val="ＭＳ Ｐ明朝"/>
        <family val="1"/>
        <charset val="128"/>
      </rPr>
      <t>の常勤換算職員数をご記入ください。</t>
    </r>
    <rPh sb="42" eb="44">
      <t>リガク</t>
    </rPh>
    <rPh sb="44" eb="47">
      <t>リョウホウシ</t>
    </rPh>
    <rPh sb="48" eb="50">
      <t>サギョウ</t>
    </rPh>
    <rPh sb="50" eb="53">
      <t>リョウホウシ</t>
    </rPh>
    <rPh sb="54" eb="59">
      <t>ゲンゴチョウカクシ</t>
    </rPh>
    <rPh sb="101" eb="103">
      <t>キノウ</t>
    </rPh>
    <rPh sb="103" eb="105">
      <t>クンレン</t>
    </rPh>
    <rPh sb="105" eb="108">
      <t>シドウイン</t>
    </rPh>
    <phoneticPr fontId="10"/>
  </si>
  <si>
    <t>①1年未満</t>
    <rPh sb="3" eb="5">
      <t>ミマン</t>
    </rPh>
    <phoneticPr fontId="10"/>
  </si>
  <si>
    <t>AB250,000</t>
    <phoneticPr fontId="10"/>
  </si>
  <si>
    <t>AC 260,000</t>
    <phoneticPr fontId="10"/>
  </si>
  <si>
    <t>AD 270,000</t>
    <phoneticPr fontId="10"/>
  </si>
  <si>
    <t>AE 280,000</t>
    <phoneticPr fontId="10"/>
  </si>
  <si>
    <t>AF 250,000</t>
    <phoneticPr fontId="10"/>
  </si>
  <si>
    <t>②1年</t>
    <phoneticPr fontId="10"/>
  </si>
  <si>
    <t>③2年</t>
    <phoneticPr fontId="10"/>
  </si>
  <si>
    <t>④3年
（※1）</t>
    <phoneticPr fontId="10"/>
  </si>
  <si>
    <t>⑤4年</t>
    <phoneticPr fontId="10"/>
  </si>
  <si>
    <t>⑥5～10年未満（※2）</t>
    <rPh sb="6" eb="8">
      <t>ミマン</t>
    </rPh>
    <phoneticPr fontId="10"/>
  </si>
  <si>
    <t>⑦10年以上</t>
    <phoneticPr fontId="10"/>
  </si>
  <si>
    <t>勤続年数「④3年」⇒4名の中央値をはさむ2名（Q・R）の内、高額の210,000（Q）の給与状況等を記入。</t>
    <phoneticPr fontId="10"/>
  </si>
  <si>
    <t>勤続年数「⑥5～10年未満」⇒中央値が同額で複数名（X～Z）いる場合は、その中から無作為抽出を行い1名の給与状況等を記入　　　　　　　　　　　　　　　　　　　　　　　　　　　　　　</t>
    <phoneticPr fontId="10"/>
  </si>
  <si>
    <t>下記の「対象者の抽出例」と「記入上の注意点」、「記入例」を参考に、7区分①～⑦をご記入ください。</t>
    <rPh sb="0" eb="2">
      <t>カキ</t>
    </rPh>
    <rPh sb="4" eb="7">
      <t>タイショウシャ</t>
    </rPh>
    <rPh sb="8" eb="10">
      <t>チュウシュツ</t>
    </rPh>
    <rPh sb="10" eb="11">
      <t>レイ</t>
    </rPh>
    <rPh sb="14" eb="16">
      <t>キニュウ</t>
    </rPh>
    <rPh sb="16" eb="17">
      <t>ジョウ</t>
    </rPh>
    <rPh sb="18" eb="20">
      <t>チュウイ</t>
    </rPh>
    <rPh sb="20" eb="21">
      <t>テン</t>
    </rPh>
    <rPh sb="24" eb="26">
      <t>キニュウ</t>
    </rPh>
    <rPh sb="26" eb="27">
      <t>レイ</t>
    </rPh>
    <rPh sb="29" eb="31">
      <t>サンコウ</t>
    </rPh>
    <rPh sb="34" eb="36">
      <t>クブン</t>
    </rPh>
    <rPh sb="41" eb="43">
      <t>キニュウ</t>
    </rPh>
    <phoneticPr fontId="10"/>
  </si>
  <si>
    <t>記入例④　3年（勤続3年～3年11か月）　</t>
    <rPh sb="0" eb="2">
      <t>キニュウ</t>
    </rPh>
    <rPh sb="2" eb="3">
      <t>レイ</t>
    </rPh>
    <phoneticPr fontId="10"/>
  </si>
  <si>
    <t>特養実態調査チーム　担当者：加藤、水田　　　</t>
    <rPh sb="0" eb="2">
      <t>トクヨウ</t>
    </rPh>
    <rPh sb="2" eb="4">
      <t>ジッタイ</t>
    </rPh>
    <rPh sb="4" eb="6">
      <t>チョウサ</t>
    </rPh>
    <rPh sb="14" eb="16">
      <t>カトウ</t>
    </rPh>
    <rPh sb="17" eb="19">
      <t>ミズタ</t>
    </rPh>
    <phoneticPr fontId="10"/>
  </si>
  <si>
    <t>「事業所コード」は自動で入力されます。
「#N/A」とエラー表示になる場合は、そのままで結構です。</t>
    <rPh sb="1" eb="4">
      <t>ジギョウショ</t>
    </rPh>
    <rPh sb="9" eb="11">
      <t>ジドウ</t>
    </rPh>
    <rPh sb="12" eb="14">
      <t>ニュウリョク</t>
    </rPh>
    <rPh sb="30" eb="32">
      <t>ヒョウジ</t>
    </rPh>
    <rPh sb="35" eb="37">
      <t>バアイ</t>
    </rPh>
    <rPh sb="44" eb="46">
      <t>ケッコウ</t>
    </rPh>
    <phoneticPr fontId="10"/>
  </si>
  <si>
    <t>新Ⅰ取得できない理由</t>
    <rPh sb="0" eb="1">
      <t>シン</t>
    </rPh>
    <rPh sb="2" eb="4">
      <t>シュトク</t>
    </rPh>
    <rPh sb="8" eb="10">
      <t>リユウ</t>
    </rPh>
    <phoneticPr fontId="27"/>
  </si>
  <si>
    <t>２１．日常生活継続支援加算の取得状況 算定要件_①</t>
    <rPh sb="3" eb="5">
      <t>ニチジョウ</t>
    </rPh>
    <rPh sb="5" eb="7">
      <t>セイカツ</t>
    </rPh>
    <rPh sb="7" eb="9">
      <t>ケイゾク</t>
    </rPh>
    <rPh sb="9" eb="11">
      <t>シエン</t>
    </rPh>
    <rPh sb="11" eb="13">
      <t>カサン</t>
    </rPh>
    <rPh sb="14" eb="16">
      <t>シュトク</t>
    </rPh>
    <rPh sb="16" eb="18">
      <t>ジョウキョウ</t>
    </rPh>
    <phoneticPr fontId="27"/>
  </si>
  <si>
    <t>1.職員の雇用区分</t>
    <phoneticPr fontId="10"/>
  </si>
  <si>
    <t>2.正規職員の介護職員における「管理職」と「一般職」の定義</t>
    <phoneticPr fontId="10"/>
  </si>
  <si>
    <t>経験</t>
    <rPh sb="0" eb="2">
      <t>ケイケン</t>
    </rPh>
    <phoneticPr fontId="10"/>
  </si>
  <si>
    <t>資格</t>
    <rPh sb="0" eb="2">
      <t>シカク</t>
    </rPh>
    <phoneticPr fontId="10"/>
  </si>
  <si>
    <t>評価</t>
    <rPh sb="0" eb="2">
      <t>ヒョウカ</t>
    </rPh>
    <phoneticPr fontId="10"/>
  </si>
  <si>
    <t>※</t>
    <phoneticPr fontId="10"/>
  </si>
  <si>
    <t>資格：「介護福祉士」「実務者研修修了者」などを想定。ただし、介護福祉士資格を有して当該事業所や法人で就業する者についても昇給が図られてる仕組みであることを要する。</t>
    <rPh sb="0" eb="2">
      <t>シカク</t>
    </rPh>
    <rPh sb="4" eb="6">
      <t>カイゴ</t>
    </rPh>
    <rPh sb="6" eb="9">
      <t>フクシシ</t>
    </rPh>
    <rPh sb="11" eb="13">
      <t>ジツム</t>
    </rPh>
    <rPh sb="13" eb="14">
      <t>シャ</t>
    </rPh>
    <rPh sb="14" eb="16">
      <t>ケンシュウ</t>
    </rPh>
    <rPh sb="16" eb="19">
      <t>シュウリョウシャ</t>
    </rPh>
    <rPh sb="23" eb="25">
      <t>ソウテイ</t>
    </rPh>
    <rPh sb="30" eb="32">
      <t>カイゴ</t>
    </rPh>
    <rPh sb="32" eb="35">
      <t>フクシシ</t>
    </rPh>
    <rPh sb="35" eb="37">
      <t>シカク</t>
    </rPh>
    <rPh sb="38" eb="39">
      <t>ユウ</t>
    </rPh>
    <rPh sb="41" eb="43">
      <t>トウガイ</t>
    </rPh>
    <rPh sb="43" eb="45">
      <t>ジギョウ</t>
    </rPh>
    <rPh sb="45" eb="46">
      <t>ショ</t>
    </rPh>
    <rPh sb="47" eb="49">
      <t>ホウジン</t>
    </rPh>
    <rPh sb="50" eb="52">
      <t>シュウギョウ</t>
    </rPh>
    <rPh sb="54" eb="55">
      <t>モノ</t>
    </rPh>
    <rPh sb="60" eb="62">
      <t>ショウキュウ</t>
    </rPh>
    <rPh sb="63" eb="64">
      <t>ハカ</t>
    </rPh>
    <rPh sb="68" eb="70">
      <t>シク</t>
    </rPh>
    <rPh sb="77" eb="78">
      <t>ヨウ</t>
    </rPh>
    <phoneticPr fontId="10"/>
  </si>
  <si>
    <t>評価：「実技試験」「人事評価」などを想定。ただし、客観的な評価（採点）基準や昇給条件が明文化されていることを要する。</t>
    <rPh sb="0" eb="2">
      <t>ヒョウカ</t>
    </rPh>
    <rPh sb="4" eb="6">
      <t>ジツギ</t>
    </rPh>
    <rPh sb="6" eb="8">
      <t>シケン</t>
    </rPh>
    <rPh sb="10" eb="12">
      <t>ジンジ</t>
    </rPh>
    <rPh sb="12" eb="14">
      <t>ヒョウカ</t>
    </rPh>
    <rPh sb="18" eb="20">
      <t>ソウテイ</t>
    </rPh>
    <rPh sb="25" eb="28">
      <t>キャッカンテキ</t>
    </rPh>
    <rPh sb="29" eb="31">
      <t>ヒョウカ</t>
    </rPh>
    <rPh sb="32" eb="34">
      <t>サイテン</t>
    </rPh>
    <rPh sb="35" eb="37">
      <t>キジュン</t>
    </rPh>
    <rPh sb="38" eb="40">
      <t>ショウキュウ</t>
    </rPh>
    <rPh sb="40" eb="42">
      <t>ジョウケン</t>
    </rPh>
    <rPh sb="43" eb="46">
      <t>メイブンカ</t>
    </rPh>
    <rPh sb="54" eb="55">
      <t>ヨウ</t>
    </rPh>
    <phoneticPr fontId="10"/>
  </si>
  <si>
    <t>経験：「勤続年数」「経験年数」などを想定。</t>
    <rPh sb="0" eb="2">
      <t>ケイケン</t>
    </rPh>
    <rPh sb="4" eb="8">
      <t>キンゾクネンスウ</t>
    </rPh>
    <rPh sb="10" eb="12">
      <t>ケイケン</t>
    </rPh>
    <rPh sb="12" eb="14">
      <t>ネンスウ</t>
    </rPh>
    <rPh sb="18" eb="20">
      <t>ソウテイ</t>
    </rPh>
    <phoneticPr fontId="10"/>
  </si>
  <si>
    <t>経験</t>
    <rPh sb="0" eb="2">
      <t>ケイケン</t>
    </rPh>
    <phoneticPr fontId="27"/>
  </si>
  <si>
    <t>資格</t>
    <rPh sb="0" eb="2">
      <t>シカク</t>
    </rPh>
    <phoneticPr fontId="27"/>
  </si>
  <si>
    <t>評価</t>
    <rPh sb="0" eb="2">
      <t>ヒョウカ</t>
    </rPh>
    <phoneticPr fontId="27"/>
  </si>
  <si>
    <t>介護職員処遇改善加算（新Ⅰ）の取得状況</t>
    <phoneticPr fontId="27"/>
  </si>
  <si>
    <t>キャリアパス要件Ⅲの該当要素
（複数回答可）
(該当する場合は「1」を選択)</t>
    <rPh sb="6" eb="8">
      <t>ヨウケン</t>
    </rPh>
    <rPh sb="10" eb="12">
      <t>ガイトウ</t>
    </rPh>
    <rPh sb="12" eb="14">
      <t>ヨウソ</t>
    </rPh>
    <rPh sb="24" eb="26">
      <t>ガイトウ</t>
    </rPh>
    <phoneticPr fontId="10"/>
  </si>
  <si>
    <t>派遣委託職員
（年間延べ人数）</t>
    <rPh sb="8" eb="10">
      <t>ネンカン</t>
    </rPh>
    <rPh sb="10" eb="11">
      <t>ノ</t>
    </rPh>
    <rPh sb="12" eb="14">
      <t>ニンズウ</t>
    </rPh>
    <phoneticPr fontId="10"/>
  </si>
  <si>
    <t>+</t>
    <phoneticPr fontId="10"/>
  </si>
  <si>
    <t>+</t>
    <phoneticPr fontId="10"/>
  </si>
  <si>
    <t>=</t>
    <phoneticPr fontId="10"/>
  </si>
  <si>
    <t>=</t>
    <phoneticPr fontId="10"/>
  </si>
  <si>
    <t>サービス活動増減の部</t>
    <rPh sb="4" eb="6">
      <t>カツドウ</t>
    </rPh>
    <rPh sb="6" eb="8">
      <t>ゾウゲン</t>
    </rPh>
    <rPh sb="9" eb="10">
      <t>ブ</t>
    </rPh>
    <phoneticPr fontId="10"/>
  </si>
  <si>
    <t>収益</t>
    <rPh sb="0" eb="2">
      <t>シュウエキ</t>
    </rPh>
    <phoneticPr fontId="10"/>
  </si>
  <si>
    <t>費用</t>
    <rPh sb="0" eb="2">
      <t>ヒヨウ</t>
    </rPh>
    <phoneticPr fontId="10"/>
  </si>
  <si>
    <t>サービス活動外増減の部</t>
    <rPh sb="4" eb="6">
      <t>カツドウ</t>
    </rPh>
    <rPh sb="6" eb="7">
      <t>ガイ</t>
    </rPh>
    <rPh sb="7" eb="9">
      <t>ゾウゲン</t>
    </rPh>
    <rPh sb="10" eb="11">
      <t>ブ</t>
    </rPh>
    <phoneticPr fontId="10"/>
  </si>
  <si>
    <t>確認用</t>
    <rPh sb="0" eb="3">
      <t>カクニンヨウ</t>
    </rPh>
    <phoneticPr fontId="10"/>
  </si>
  <si>
    <t>組織的に計画的な取り組みがない場合は、「無」を回答してください。</t>
    <rPh sb="0" eb="3">
      <t>ソシキテキ</t>
    </rPh>
    <rPh sb="4" eb="7">
      <t>ケイカクテキ</t>
    </rPh>
    <rPh sb="8" eb="9">
      <t>ト</t>
    </rPh>
    <rPh sb="10" eb="11">
      <t>ク</t>
    </rPh>
    <rPh sb="15" eb="17">
      <t>バアイ</t>
    </rPh>
    <rPh sb="20" eb="21">
      <t>ナシ</t>
    </rPh>
    <rPh sb="23" eb="25">
      <t>カイトウ</t>
    </rPh>
    <phoneticPr fontId="27"/>
  </si>
  <si>
    <t>平成30年度
（請求見込含む）</t>
    <rPh sb="0" eb="2">
      <t>ヘイセイ</t>
    </rPh>
    <rPh sb="4" eb="6">
      <t>ネンド</t>
    </rPh>
    <rPh sb="8" eb="10">
      <t>セイキュウ</t>
    </rPh>
    <rPh sb="10" eb="12">
      <t>ミコ</t>
    </rPh>
    <rPh sb="12" eb="13">
      <t>フク</t>
    </rPh>
    <phoneticPr fontId="27"/>
  </si>
  <si>
    <t>夜勤職員配置加算（Ⅲ）</t>
    <phoneticPr fontId="27"/>
  </si>
  <si>
    <t>夜勤職員配置加算（Ⅳ）</t>
    <phoneticPr fontId="27"/>
  </si>
  <si>
    <t>①加算Ⅲ イ  　②加算Ⅲ ロ　 　③無</t>
    <phoneticPr fontId="27"/>
  </si>
  <si>
    <t>①加算Ⅳ イ    ②加算Ⅳ ロ　 　③無</t>
    <phoneticPr fontId="27"/>
  </si>
  <si>
    <t>排せつ支援加算</t>
    <rPh sb="0" eb="1">
      <t>ハイ</t>
    </rPh>
    <rPh sb="3" eb="5">
      <t>シエン</t>
    </rPh>
    <rPh sb="5" eb="7">
      <t>カサン</t>
    </rPh>
    <phoneticPr fontId="27"/>
  </si>
  <si>
    <t>褥瘡マネジメント加算</t>
    <rPh sb="0" eb="2">
      <t>ジョクソウ</t>
    </rPh>
    <rPh sb="8" eb="10">
      <t>カサン</t>
    </rPh>
    <phoneticPr fontId="27"/>
  </si>
  <si>
    <t>生活機能向上連携加算</t>
    <rPh sb="0" eb="2">
      <t>セイカツ</t>
    </rPh>
    <rPh sb="2" eb="4">
      <t>キノウ</t>
    </rPh>
    <rPh sb="4" eb="6">
      <t>コウジョウ</t>
    </rPh>
    <rPh sb="6" eb="8">
      <t>レンケイ</t>
    </rPh>
    <rPh sb="8" eb="10">
      <t>カサン</t>
    </rPh>
    <phoneticPr fontId="27"/>
  </si>
  <si>
    <t>①加算Ⅰ　　　　②加算Ⅱ　　　　③無</t>
    <rPh sb="1" eb="3">
      <t>カサン</t>
    </rPh>
    <rPh sb="9" eb="11">
      <t>カサン</t>
    </rPh>
    <phoneticPr fontId="10"/>
  </si>
  <si>
    <t>配置医師緊急時対応加算</t>
    <rPh sb="0" eb="2">
      <t>ハイチ</t>
    </rPh>
    <rPh sb="2" eb="4">
      <t>イシ</t>
    </rPh>
    <rPh sb="4" eb="7">
      <t>キンキュウジ</t>
    </rPh>
    <rPh sb="7" eb="9">
      <t>タイオウ</t>
    </rPh>
    <rPh sb="9" eb="11">
      <t>カサン</t>
    </rPh>
    <phoneticPr fontId="27"/>
  </si>
  <si>
    <t>在宅サービスを利用した時の費用</t>
    <rPh sb="0" eb="2">
      <t>ザイタク</t>
    </rPh>
    <rPh sb="7" eb="9">
      <t>リヨウ</t>
    </rPh>
    <rPh sb="11" eb="12">
      <t>トキ</t>
    </rPh>
    <rPh sb="13" eb="15">
      <t>ヒヨウ</t>
    </rPh>
    <phoneticPr fontId="27"/>
  </si>
  <si>
    <r>
      <rPr>
        <sz val="11"/>
        <color indexed="8"/>
        <rFont val="ＭＳ Ｐ明朝"/>
        <family val="1"/>
        <charset val="128"/>
      </rPr>
      <t>平成30年度については、</t>
    </r>
    <r>
      <rPr>
        <b/>
        <u/>
        <sz val="11"/>
        <color indexed="8"/>
        <rFont val="ＭＳ Ｐ明朝"/>
        <family val="1"/>
        <charset val="128"/>
      </rPr>
      <t>回答時に請求している項目</t>
    </r>
    <r>
      <rPr>
        <sz val="11"/>
        <color indexed="8"/>
        <rFont val="ＭＳ Ｐ明朝"/>
        <family val="1"/>
        <charset val="128"/>
      </rPr>
      <t>または</t>
    </r>
    <r>
      <rPr>
        <b/>
        <u/>
        <sz val="11"/>
        <color indexed="8"/>
        <rFont val="ＭＳ Ｐ明朝"/>
        <family val="1"/>
        <charset val="128"/>
      </rPr>
      <t>今後請求する見込みがある項目</t>
    </r>
    <r>
      <rPr>
        <sz val="11"/>
        <color indexed="8"/>
        <rFont val="ＭＳ Ｐ明朝"/>
        <family val="1"/>
        <charset val="128"/>
      </rPr>
      <t>を回答してください</t>
    </r>
    <r>
      <rPr>
        <sz val="11"/>
        <color theme="1"/>
        <rFont val="ＭＳ Ｐ明朝"/>
        <family val="1"/>
        <charset val="128"/>
      </rPr>
      <t>。</t>
    </r>
    <rPh sb="12" eb="14">
      <t>カイトウ</t>
    </rPh>
    <rPh sb="14" eb="15">
      <t>ジ</t>
    </rPh>
    <rPh sb="16" eb="18">
      <t>セイキュウ</t>
    </rPh>
    <rPh sb="22" eb="24">
      <t>コウモク</t>
    </rPh>
    <rPh sb="27" eb="29">
      <t>コンゴ</t>
    </rPh>
    <rPh sb="29" eb="31">
      <t>セイキュウ</t>
    </rPh>
    <rPh sb="33" eb="35">
      <t>ミコ</t>
    </rPh>
    <rPh sb="39" eb="41">
      <t>コウモク</t>
    </rPh>
    <rPh sb="42" eb="44">
      <t>カイトウ</t>
    </rPh>
    <phoneticPr fontId="10"/>
  </si>
  <si>
    <t>キャリアパス要件Ⅲを継続して
満たすための課題
（今後改善していきたいと考えていることについて）</t>
    <rPh sb="6" eb="8">
      <t>ヨウケン</t>
    </rPh>
    <rPh sb="10" eb="12">
      <t>ケイゾク</t>
    </rPh>
    <rPh sb="15" eb="16">
      <t>ミ</t>
    </rPh>
    <rPh sb="21" eb="23">
      <t>カダイ</t>
    </rPh>
    <rPh sb="25" eb="27">
      <t>コンゴ</t>
    </rPh>
    <rPh sb="27" eb="29">
      <t>カイゼン</t>
    </rPh>
    <rPh sb="36" eb="37">
      <t>カンガ</t>
    </rPh>
    <phoneticPr fontId="10"/>
  </si>
  <si>
    <t>貴法人の継続雇用制度への対応方法について、選択してください。</t>
    <rPh sb="0" eb="1">
      <t>キ</t>
    </rPh>
    <rPh sb="1" eb="3">
      <t>ホウジン</t>
    </rPh>
    <rPh sb="4" eb="6">
      <t>ケイゾク</t>
    </rPh>
    <rPh sb="6" eb="8">
      <t>コヨウ</t>
    </rPh>
    <rPh sb="8" eb="10">
      <t>セイド</t>
    </rPh>
    <rPh sb="12" eb="14">
      <t>タイオウ</t>
    </rPh>
    <rPh sb="14" eb="16">
      <t>ホウホウ</t>
    </rPh>
    <rPh sb="21" eb="23">
      <t>センタク</t>
    </rPh>
    <phoneticPr fontId="10"/>
  </si>
  <si>
    <t>●</t>
    <phoneticPr fontId="10"/>
  </si>
  <si>
    <t>歳</t>
    <rPh sb="0" eb="1">
      <t>サイ</t>
    </rPh>
    <phoneticPr fontId="10"/>
  </si>
  <si>
    <t>就業規則等で定めのある貴法人の定年年齢を選択してください。</t>
    <rPh sb="0" eb="2">
      <t>シュウギョウ</t>
    </rPh>
    <rPh sb="2" eb="4">
      <t>キソク</t>
    </rPh>
    <rPh sb="4" eb="5">
      <t>ナド</t>
    </rPh>
    <rPh sb="6" eb="7">
      <t>サダ</t>
    </rPh>
    <rPh sb="11" eb="12">
      <t>キ</t>
    </rPh>
    <rPh sb="12" eb="14">
      <t>ホウジン</t>
    </rPh>
    <rPh sb="15" eb="17">
      <t>テイネン</t>
    </rPh>
    <rPh sb="17" eb="19">
      <t>ネンレイ</t>
    </rPh>
    <rPh sb="20" eb="22">
      <t>センタク</t>
    </rPh>
    <phoneticPr fontId="10"/>
  </si>
  <si>
    <t>7.定員数</t>
    <phoneticPr fontId="10"/>
  </si>
  <si>
    <t>8.年間利用者延べ人数　</t>
    <phoneticPr fontId="10"/>
  </si>
  <si>
    <t>特養と併設（一体的運用）短期入所の定員数をご記入ください。空床利用の定員数は含みません。</t>
    <rPh sb="0" eb="2">
      <t>トクヨウ</t>
    </rPh>
    <rPh sb="3" eb="5">
      <t>ヘイセツ</t>
    </rPh>
    <rPh sb="6" eb="9">
      <t>イッタイテキ</t>
    </rPh>
    <rPh sb="9" eb="11">
      <t>ウンヨウ</t>
    </rPh>
    <rPh sb="12" eb="14">
      <t>タンキ</t>
    </rPh>
    <rPh sb="14" eb="16">
      <t>ニュウショ</t>
    </rPh>
    <rPh sb="17" eb="20">
      <t>テイインスウ</t>
    </rPh>
    <rPh sb="22" eb="24">
      <t>キニュウ</t>
    </rPh>
    <rPh sb="29" eb="31">
      <t>クウショウ</t>
    </rPh>
    <rPh sb="31" eb="33">
      <t>リヨウ</t>
    </rPh>
    <rPh sb="34" eb="37">
      <t>テイインスウ</t>
    </rPh>
    <rPh sb="38" eb="39">
      <t>フク</t>
    </rPh>
    <phoneticPr fontId="10"/>
  </si>
  <si>
    <r>
      <t>「7.定員数」の内、「①特養」と「②短期入所」の定員相当の</t>
    </r>
    <r>
      <rPr>
        <b/>
        <u/>
        <sz val="11"/>
        <color theme="1"/>
        <rFont val="ＭＳ Ｐ明朝"/>
        <family val="1"/>
        <charset val="128"/>
      </rPr>
      <t>年間延べ人数</t>
    </r>
    <r>
      <rPr>
        <sz val="11"/>
        <color theme="1"/>
        <rFont val="ＭＳ Ｐ明朝"/>
        <family val="1"/>
        <charset val="128"/>
      </rPr>
      <t>をそれぞれの欄に回答してください。</t>
    </r>
    <rPh sb="3" eb="6">
      <t>テイインスウ</t>
    </rPh>
    <rPh sb="8" eb="9">
      <t>ウチ</t>
    </rPh>
    <rPh sb="12" eb="14">
      <t>トクヨウ</t>
    </rPh>
    <rPh sb="18" eb="20">
      <t>タンキ</t>
    </rPh>
    <rPh sb="20" eb="22">
      <t>ニュウショ</t>
    </rPh>
    <rPh sb="24" eb="26">
      <t>テイイン</t>
    </rPh>
    <rPh sb="26" eb="28">
      <t>ソウトウ</t>
    </rPh>
    <rPh sb="29" eb="31">
      <t>ネンカン</t>
    </rPh>
    <rPh sb="31" eb="32">
      <t>ノ</t>
    </rPh>
    <rPh sb="33" eb="35">
      <t>ニンズウ</t>
    </rPh>
    <rPh sb="41" eb="42">
      <t>ラン</t>
    </rPh>
    <rPh sb="43" eb="45">
      <t>カイトウ</t>
    </rPh>
    <phoneticPr fontId="10"/>
  </si>
  <si>
    <t>9.要介護度内訳</t>
    <phoneticPr fontId="10"/>
  </si>
  <si>
    <t>設問9～11の二重線内の特養の年間利用者延べ人数がいずれも一致するか、確認してください。</t>
    <rPh sb="0" eb="2">
      <t>セツモン</t>
    </rPh>
    <rPh sb="7" eb="10">
      <t>ニジュウセン</t>
    </rPh>
    <rPh sb="10" eb="11">
      <t>ナイ</t>
    </rPh>
    <rPh sb="12" eb="14">
      <t>トクヨウ</t>
    </rPh>
    <rPh sb="15" eb="17">
      <t>ネンカン</t>
    </rPh>
    <rPh sb="17" eb="20">
      <t>リヨウシャ</t>
    </rPh>
    <rPh sb="20" eb="21">
      <t>ノ</t>
    </rPh>
    <rPh sb="22" eb="24">
      <t>ニンズウ</t>
    </rPh>
    <rPh sb="29" eb="31">
      <t>イッチ</t>
    </rPh>
    <rPh sb="35" eb="37">
      <t>カクニン</t>
    </rPh>
    <phoneticPr fontId="10"/>
  </si>
  <si>
    <t>10.認知症高齢者の日常生活自立度</t>
    <rPh sb="3" eb="6">
      <t>ニンチショウ</t>
    </rPh>
    <rPh sb="6" eb="9">
      <t>コウレイシャ</t>
    </rPh>
    <rPh sb="10" eb="12">
      <t>ニチジョウ</t>
    </rPh>
    <rPh sb="12" eb="14">
      <t>セイカツ</t>
    </rPh>
    <rPh sb="14" eb="17">
      <t>ジリツド</t>
    </rPh>
    <phoneticPr fontId="10"/>
  </si>
  <si>
    <t xml:space="preserve">11.利用者負担の各段階人数   </t>
    <phoneticPr fontId="10"/>
  </si>
  <si>
    <t xml:space="preserve">12.退所者の主な理由   </t>
    <rPh sb="3" eb="5">
      <t>タイショ</t>
    </rPh>
    <rPh sb="5" eb="6">
      <t>シャ</t>
    </rPh>
    <rPh sb="7" eb="8">
      <t>オモ</t>
    </rPh>
    <rPh sb="9" eb="11">
      <t>リユウ</t>
    </rPh>
    <phoneticPr fontId="10"/>
  </si>
  <si>
    <t>13.空床の理由について</t>
    <rPh sb="3" eb="5">
      <t>クウショウ</t>
    </rPh>
    <rPh sb="6" eb="8">
      <t>リユウ</t>
    </rPh>
    <phoneticPr fontId="10"/>
  </si>
  <si>
    <t>医療機関へ転院
（死亡含む）
※施設以外</t>
    <rPh sb="0" eb="2">
      <t>イリョウ</t>
    </rPh>
    <rPh sb="2" eb="4">
      <t>キカン</t>
    </rPh>
    <rPh sb="5" eb="7">
      <t>テンイン</t>
    </rPh>
    <rPh sb="9" eb="11">
      <t>シボウ</t>
    </rPh>
    <rPh sb="11" eb="12">
      <t>フク</t>
    </rPh>
    <rPh sb="16" eb="18">
      <t>シセツ</t>
    </rPh>
    <rPh sb="18" eb="20">
      <t>イガイ</t>
    </rPh>
    <phoneticPr fontId="10"/>
  </si>
  <si>
    <t>14.待機者の状況</t>
    <rPh sb="3" eb="6">
      <t>タイキシャ</t>
    </rPh>
    <rPh sb="7" eb="9">
      <t>ジョウキョウ</t>
    </rPh>
    <phoneticPr fontId="10"/>
  </si>
  <si>
    <t>31.看護職員の実人数（年齢別・勤続年数別）</t>
    <rPh sb="3" eb="5">
      <t>カンゴ</t>
    </rPh>
    <rPh sb="5" eb="7">
      <t>ショクイン</t>
    </rPh>
    <rPh sb="16" eb="18">
      <t>キンゾク</t>
    </rPh>
    <rPh sb="18" eb="20">
      <t>ネンスウ</t>
    </rPh>
    <rPh sb="20" eb="21">
      <t>ベツ</t>
    </rPh>
    <phoneticPr fontId="10"/>
  </si>
  <si>
    <t>32.正規看護職の給与（月額）</t>
    <rPh sb="3" eb="5">
      <t>セイキ</t>
    </rPh>
    <rPh sb="5" eb="7">
      <t>カンゴ</t>
    </rPh>
    <rPh sb="7" eb="8">
      <t>ショク</t>
    </rPh>
    <rPh sb="9" eb="11">
      <t>キュウヨ</t>
    </rPh>
    <phoneticPr fontId="10"/>
  </si>
  <si>
    <t>33.医師の配置状況</t>
    <rPh sb="3" eb="5">
      <t>イシ</t>
    </rPh>
    <rPh sb="6" eb="8">
      <t>ハイチ</t>
    </rPh>
    <rPh sb="8" eb="10">
      <t>ジョウキョウ</t>
    </rPh>
    <phoneticPr fontId="10"/>
  </si>
  <si>
    <t>平成30年4月以降の特養における加算の状況</t>
    <rPh sb="0" eb="2">
      <t>ヘイセイ</t>
    </rPh>
    <rPh sb="4" eb="5">
      <t>ネン</t>
    </rPh>
    <rPh sb="6" eb="9">
      <t>ガツイコウ</t>
    </rPh>
    <rPh sb="10" eb="12">
      <t>トクヨウ</t>
    </rPh>
    <phoneticPr fontId="10"/>
  </si>
  <si>
    <t>　研修研究費</t>
    <rPh sb="1" eb="3">
      <t>ケンシュウ</t>
    </rPh>
    <rPh sb="3" eb="6">
      <t>ケンキュウヒ</t>
    </rPh>
    <phoneticPr fontId="10"/>
  </si>
  <si>
    <t>No.</t>
    <phoneticPr fontId="27"/>
  </si>
  <si>
    <t>看取り（死亡）
※施設内</t>
    <rPh sb="0" eb="2">
      <t>ミト</t>
    </rPh>
    <rPh sb="4" eb="6">
      <t>シボウ</t>
    </rPh>
    <rPh sb="9" eb="11">
      <t>シセツ</t>
    </rPh>
    <rPh sb="11" eb="12">
      <t>ナイ</t>
    </rPh>
    <phoneticPr fontId="10"/>
  </si>
  <si>
    <t>ただし、「短期入所の内、空床利用」を行っている場合は、その該当人数を「年間延べ人数」から除いた人数を回答してください。</t>
    <rPh sb="18" eb="19">
      <t>オコナ</t>
    </rPh>
    <rPh sb="44" eb="45">
      <t>ノゾ</t>
    </rPh>
    <rPh sb="47" eb="49">
      <t>ニンズウ</t>
    </rPh>
    <phoneticPr fontId="10"/>
  </si>
  <si>
    <t>①加算Ⅰ ②加算Ⅱ ③加算Ⅲ ④加算Ⅳ ⑤加算Ⅴ ⑥無</t>
    <rPh sb="16" eb="18">
      <t>カサン</t>
    </rPh>
    <rPh sb="21" eb="23">
      <t>カサン</t>
    </rPh>
    <phoneticPr fontId="10"/>
  </si>
  <si>
    <t>円</t>
    <rPh sb="0" eb="1">
      <t>エン</t>
    </rPh>
    <phoneticPr fontId="10"/>
  </si>
  <si>
    <t>実務者研修修了者（旧ヘルパー1級相当）</t>
    <rPh sb="0" eb="2">
      <t>ジツム</t>
    </rPh>
    <rPh sb="2" eb="3">
      <t>シャ</t>
    </rPh>
    <rPh sb="3" eb="5">
      <t>ケンシュウ</t>
    </rPh>
    <rPh sb="5" eb="8">
      <t>シュウリョウシャ</t>
    </rPh>
    <rPh sb="9" eb="10">
      <t>キュウ</t>
    </rPh>
    <rPh sb="15" eb="16">
      <t>キュウ</t>
    </rPh>
    <rPh sb="16" eb="18">
      <t>ソウトウ</t>
    </rPh>
    <phoneticPr fontId="10"/>
  </si>
  <si>
    <t>入力箇所はございません。確認用です。</t>
    <rPh sb="0" eb="2">
      <t>ニュウリョク</t>
    </rPh>
    <rPh sb="2" eb="4">
      <t>カショ</t>
    </rPh>
    <rPh sb="12" eb="15">
      <t>カクニンヨウ</t>
    </rPh>
    <phoneticPr fontId="50"/>
  </si>
  <si>
    <t>◆収益性の指標</t>
    <rPh sb="1" eb="4">
      <t>シュウエキセイ</t>
    </rPh>
    <rPh sb="5" eb="7">
      <t>シヒョウ</t>
    </rPh>
    <phoneticPr fontId="50"/>
  </si>
  <si>
    <t>①サービス活動収益（円）</t>
    <rPh sb="5" eb="7">
      <t>カツドウ</t>
    </rPh>
    <rPh sb="7" eb="9">
      <t>シュウエキ</t>
    </rPh>
    <rPh sb="10" eb="11">
      <t>エン</t>
    </rPh>
    <phoneticPr fontId="50"/>
  </si>
  <si>
    <t>（円）</t>
    <rPh sb="1" eb="2">
      <t>エン</t>
    </rPh>
    <phoneticPr fontId="50"/>
  </si>
  <si>
    <t>②サービス活動費用（円）</t>
    <rPh sb="5" eb="7">
      <t>カツドウ</t>
    </rPh>
    <rPh sb="7" eb="9">
      <t>ヒヨウ</t>
    </rPh>
    <rPh sb="10" eb="11">
      <t>エン</t>
    </rPh>
    <phoneticPr fontId="50"/>
  </si>
  <si>
    <t>③サービス活動増減差額（円）</t>
    <rPh sb="5" eb="7">
      <t>カツドウ</t>
    </rPh>
    <rPh sb="7" eb="9">
      <t>ゾウゲン</t>
    </rPh>
    <rPh sb="9" eb="11">
      <t>サガク</t>
    </rPh>
    <rPh sb="12" eb="13">
      <t>エン</t>
    </rPh>
    <phoneticPr fontId="50"/>
  </si>
  <si>
    <t>④サービス活動増減差額率(%)；</t>
    <rPh sb="5" eb="7">
      <t>カツドウ</t>
    </rPh>
    <rPh sb="7" eb="9">
      <t>ゾウゲン</t>
    </rPh>
    <rPh sb="9" eb="11">
      <t>サガク</t>
    </rPh>
    <rPh sb="11" eb="12">
      <t>リツ</t>
    </rPh>
    <phoneticPr fontId="50"/>
  </si>
  <si>
    <t>（③サービス活動増減差額 ÷ ①サービス活動収益）×100</t>
    <phoneticPr fontId="50"/>
  </si>
  <si>
    <t>（</t>
    <phoneticPr fontId="50"/>
  </si>
  <si>
    <t>÷</t>
    <phoneticPr fontId="50"/>
  </si>
  <si>
    <t>）×100＝</t>
    <phoneticPr fontId="50"/>
  </si>
  <si>
    <t>◆機能性の指標</t>
    <rPh sb="1" eb="3">
      <t>キノウ</t>
    </rPh>
    <rPh sb="3" eb="4">
      <t>セイ</t>
    </rPh>
    <rPh sb="5" eb="7">
      <t>シヒョウ</t>
    </rPh>
    <phoneticPr fontId="50"/>
  </si>
  <si>
    <t>※純然たるサービス活動収益を先に算出する。</t>
    <rPh sb="1" eb="3">
      <t>ジュンゼン</t>
    </rPh>
    <rPh sb="9" eb="11">
      <t>カツドウ</t>
    </rPh>
    <rPh sb="11" eb="13">
      <t>シュウエキ</t>
    </rPh>
    <rPh sb="14" eb="15">
      <t>サキ</t>
    </rPh>
    <rPh sb="16" eb="18">
      <t>サンシュツ</t>
    </rPh>
    <phoneticPr fontId="50"/>
  </si>
  <si>
    <t>サービス活動収益 － 経常経費寄付金収益 ＝ 純然たるサービス活動収益</t>
    <rPh sb="4" eb="6">
      <t>カツドウ</t>
    </rPh>
    <rPh sb="6" eb="8">
      <t>シュウエキ</t>
    </rPh>
    <rPh sb="11" eb="13">
      <t>ケイジョウ</t>
    </rPh>
    <rPh sb="13" eb="15">
      <t>ケイヒ</t>
    </rPh>
    <rPh sb="15" eb="18">
      <t>キフキン</t>
    </rPh>
    <rPh sb="18" eb="20">
      <t>シュウエキ</t>
    </rPh>
    <rPh sb="23" eb="25">
      <t>ジュンゼン</t>
    </rPh>
    <rPh sb="31" eb="33">
      <t>カツドウ</t>
    </rPh>
    <rPh sb="33" eb="35">
      <t>シュウエキ</t>
    </rPh>
    <phoneticPr fontId="50"/>
  </si>
  <si>
    <t>－</t>
    <phoneticPr fontId="50"/>
  </si>
  <si>
    <t>＝</t>
    <phoneticPr fontId="50"/>
  </si>
  <si>
    <r>
      <t>⑤</t>
    </r>
    <r>
      <rPr>
        <sz val="11"/>
        <color theme="1"/>
        <rFont val="HG丸ｺﾞｼｯｸM-PRO"/>
        <family val="3"/>
        <charset val="128"/>
      </rPr>
      <t>１日平均利用者数(人)；</t>
    </r>
    <rPh sb="2" eb="3">
      <t>ニチ</t>
    </rPh>
    <rPh sb="3" eb="5">
      <t>ヘイキン</t>
    </rPh>
    <rPh sb="5" eb="8">
      <t>リヨウシャ</t>
    </rPh>
    <rPh sb="8" eb="9">
      <t>スウ</t>
    </rPh>
    <rPh sb="10" eb="11">
      <t>ニン</t>
    </rPh>
    <phoneticPr fontId="50"/>
  </si>
  <si>
    <t>年間利用者延べ人数 ÷ 施設開業日数</t>
    <phoneticPr fontId="50"/>
  </si>
  <si>
    <t>（人）</t>
    <rPh sb="1" eb="2">
      <t>ニン</t>
    </rPh>
    <phoneticPr fontId="50"/>
  </si>
  <si>
    <t>年間利用者延べ人数</t>
    <rPh sb="0" eb="2">
      <t>ネンカン</t>
    </rPh>
    <rPh sb="2" eb="5">
      <t>リヨウシャ</t>
    </rPh>
    <rPh sb="5" eb="6">
      <t>ノ</t>
    </rPh>
    <rPh sb="7" eb="9">
      <t>ニンズウ</t>
    </rPh>
    <phoneticPr fontId="50"/>
  </si>
  <si>
    <t>施設開業日数</t>
    <rPh sb="0" eb="2">
      <t>シセツ</t>
    </rPh>
    <rPh sb="2" eb="4">
      <t>カイギョウ</t>
    </rPh>
    <rPh sb="4" eb="6">
      <t>ニッスウ</t>
    </rPh>
    <phoneticPr fontId="50"/>
  </si>
  <si>
    <r>
      <t>⑥</t>
    </r>
    <r>
      <rPr>
        <sz val="11"/>
        <color theme="1"/>
        <rFont val="HG丸ｺﾞｼｯｸM-PRO"/>
        <family val="3"/>
        <charset val="128"/>
      </rPr>
      <t>１日あたり平均利用率(%)；</t>
    </r>
    <rPh sb="2" eb="3">
      <t>ニチ</t>
    </rPh>
    <rPh sb="6" eb="8">
      <t>ヘイキン</t>
    </rPh>
    <rPh sb="8" eb="11">
      <t>リヨウリツ</t>
    </rPh>
    <phoneticPr fontId="50"/>
  </si>
  <si>
    <t>⑤１日平均利用者数 ÷ 施設定員数</t>
    <phoneticPr fontId="50"/>
  </si>
  <si>
    <t>×100 ＝</t>
    <phoneticPr fontId="50"/>
  </si>
  <si>
    <t>⑤の結果を入力</t>
    <rPh sb="2" eb="4">
      <t>ケッカ</t>
    </rPh>
    <rPh sb="5" eb="7">
      <t>ニュウリョク</t>
    </rPh>
    <phoneticPr fontId="50"/>
  </si>
  <si>
    <t>施設定員数</t>
    <rPh sb="0" eb="2">
      <t>シセツ</t>
    </rPh>
    <rPh sb="2" eb="4">
      <t>テイイン</t>
    </rPh>
    <rPh sb="4" eb="5">
      <t>スウ</t>
    </rPh>
    <phoneticPr fontId="50"/>
  </si>
  <si>
    <r>
      <t>⑦</t>
    </r>
    <r>
      <rPr>
        <sz val="11"/>
        <color theme="1"/>
        <rFont val="HG丸ｺﾞｼｯｸM-PRO"/>
        <family val="3"/>
        <charset val="128"/>
      </rPr>
      <t>利用者10人あたり職員数(人)；</t>
    </r>
    <rPh sb="1" eb="4">
      <t>リヨウシャ</t>
    </rPh>
    <rPh sb="6" eb="7">
      <t>ニン</t>
    </rPh>
    <rPh sb="10" eb="13">
      <t>ショクインスウ</t>
    </rPh>
    <rPh sb="14" eb="15">
      <t>ニン</t>
    </rPh>
    <phoneticPr fontId="50"/>
  </si>
  <si>
    <t>常勤換算職員数 ÷ ⑤１日平均利用者数 × 10</t>
    <phoneticPr fontId="50"/>
  </si>
  <si>
    <t>×10 ＝</t>
    <phoneticPr fontId="50"/>
  </si>
  <si>
    <t>常勤換算職員数</t>
    <rPh sb="0" eb="2">
      <t>ジョウキン</t>
    </rPh>
    <rPh sb="2" eb="4">
      <t>カンザン</t>
    </rPh>
    <rPh sb="4" eb="7">
      <t>ショクインスウ</t>
    </rPh>
    <phoneticPr fontId="50"/>
  </si>
  <si>
    <r>
      <t>⑧</t>
    </r>
    <r>
      <rPr>
        <sz val="11"/>
        <color theme="1"/>
        <rFont val="HG丸ｺﾞｼｯｸM-PRO"/>
        <family val="3"/>
        <charset val="128"/>
      </rPr>
      <t>利用者１人１日あたりサービス活動収益(円)／日；</t>
    </r>
    <rPh sb="1" eb="4">
      <t>リヨウシャ</t>
    </rPh>
    <rPh sb="5" eb="6">
      <t>ニン</t>
    </rPh>
    <rPh sb="7" eb="8">
      <t>ニチ</t>
    </rPh>
    <rPh sb="15" eb="17">
      <t>カツドウ</t>
    </rPh>
    <rPh sb="17" eb="19">
      <t>シュウエキ</t>
    </rPh>
    <rPh sb="20" eb="21">
      <t>エン</t>
    </rPh>
    <rPh sb="23" eb="24">
      <t>ヒ</t>
    </rPh>
    <phoneticPr fontId="50"/>
  </si>
  <si>
    <t>純然たるサービス活動収益 ÷ 年間利用者延べ人数 等</t>
    <rPh sb="0" eb="2">
      <t>ジュンゼン</t>
    </rPh>
    <rPh sb="8" eb="10">
      <t>カツドウ</t>
    </rPh>
    <rPh sb="10" eb="12">
      <t>シュウエキ</t>
    </rPh>
    <rPh sb="15" eb="17">
      <t>ネンカン</t>
    </rPh>
    <rPh sb="17" eb="20">
      <t>リヨウシャ</t>
    </rPh>
    <rPh sb="20" eb="21">
      <t>ノ</t>
    </rPh>
    <rPh sb="22" eb="24">
      <t>ニンズウ</t>
    </rPh>
    <rPh sb="25" eb="26">
      <t>トウ</t>
    </rPh>
    <phoneticPr fontId="50"/>
  </si>
  <si>
    <t>純然たるサービス活動収益</t>
    <rPh sb="0" eb="2">
      <t>ジュンゼン</t>
    </rPh>
    <rPh sb="8" eb="10">
      <t>カツドウ</t>
    </rPh>
    <rPh sb="10" eb="12">
      <t>シュウエキ</t>
    </rPh>
    <phoneticPr fontId="50"/>
  </si>
  <si>
    <r>
      <t>⑧-1</t>
    </r>
    <r>
      <rPr>
        <b/>
        <sz val="11"/>
        <color rgb="FFFF0000"/>
        <rFont val="HG丸ｺﾞｼｯｸM-PRO"/>
        <family val="3"/>
        <charset val="128"/>
      </rPr>
      <t>（訪問介護のみ）</t>
    </r>
    <r>
      <rPr>
        <sz val="11"/>
        <color theme="1"/>
        <rFont val="HG丸ｺﾞｼｯｸM-PRO"/>
        <family val="3"/>
        <charset val="128"/>
      </rPr>
      <t>利用者１人１時間あたりサービス活動収益(円)／時間；</t>
    </r>
    <rPh sb="4" eb="6">
      <t>ホウモン</t>
    </rPh>
    <rPh sb="6" eb="8">
      <t>カイゴ</t>
    </rPh>
    <rPh sb="11" eb="14">
      <t>リヨウシャ</t>
    </rPh>
    <rPh sb="15" eb="16">
      <t>ニン</t>
    </rPh>
    <rPh sb="17" eb="19">
      <t>ジカン</t>
    </rPh>
    <rPh sb="26" eb="28">
      <t>カツドウ</t>
    </rPh>
    <rPh sb="28" eb="30">
      <t>シュウエキ</t>
    </rPh>
    <rPh sb="31" eb="32">
      <t>エン</t>
    </rPh>
    <rPh sb="34" eb="36">
      <t>ジカン</t>
    </rPh>
    <phoneticPr fontId="50"/>
  </si>
  <si>
    <t>純然たるサービス活動収益 ÷ 年間延べサービス提供時間</t>
    <rPh sb="15" eb="17">
      <t>ネンカン</t>
    </rPh>
    <rPh sb="17" eb="18">
      <t>ノ</t>
    </rPh>
    <rPh sb="23" eb="25">
      <t>テイキョウ</t>
    </rPh>
    <rPh sb="25" eb="27">
      <t>ジカン</t>
    </rPh>
    <phoneticPr fontId="50"/>
  </si>
  <si>
    <t>年間延べサービス提供時間</t>
    <rPh sb="0" eb="2">
      <t>ネンカン</t>
    </rPh>
    <rPh sb="2" eb="3">
      <t>ノ</t>
    </rPh>
    <rPh sb="8" eb="10">
      <t>テイキョウ</t>
    </rPh>
    <rPh sb="10" eb="12">
      <t>ジカン</t>
    </rPh>
    <phoneticPr fontId="50"/>
  </si>
  <si>
    <r>
      <t>⑧-2</t>
    </r>
    <r>
      <rPr>
        <b/>
        <sz val="11"/>
        <color rgb="FFFF0000"/>
        <rFont val="HG丸ｺﾞｼｯｸM-PRO"/>
        <family val="3"/>
        <charset val="128"/>
      </rPr>
      <t>（訪問介護のみ）</t>
    </r>
    <r>
      <rPr>
        <sz val="11"/>
        <color theme="1"/>
        <rFont val="HG丸ｺﾞｼｯｸM-PRO"/>
        <family val="3"/>
        <charset val="128"/>
      </rPr>
      <t>利用者１人１回あたりサービス活動収益(円)／回；</t>
    </r>
    <rPh sb="4" eb="6">
      <t>ホウモン</t>
    </rPh>
    <rPh sb="6" eb="8">
      <t>カイゴ</t>
    </rPh>
    <rPh sb="11" eb="14">
      <t>リヨウシャ</t>
    </rPh>
    <rPh sb="15" eb="16">
      <t>ニン</t>
    </rPh>
    <rPh sb="17" eb="18">
      <t>カイ</t>
    </rPh>
    <rPh sb="25" eb="27">
      <t>カツドウ</t>
    </rPh>
    <rPh sb="27" eb="29">
      <t>シュウエキ</t>
    </rPh>
    <rPh sb="30" eb="31">
      <t>エン</t>
    </rPh>
    <rPh sb="33" eb="34">
      <t>カイ</t>
    </rPh>
    <phoneticPr fontId="50"/>
  </si>
  <si>
    <t>純然たるサービス活動収益 ÷ 年間延べサービス提供回数</t>
    <rPh sb="15" eb="17">
      <t>ネンカン</t>
    </rPh>
    <rPh sb="17" eb="18">
      <t>ノ</t>
    </rPh>
    <rPh sb="23" eb="25">
      <t>テイキョウ</t>
    </rPh>
    <phoneticPr fontId="50"/>
  </si>
  <si>
    <t>年間延べサービス提供回数</t>
    <rPh sb="0" eb="2">
      <t>ネンカン</t>
    </rPh>
    <rPh sb="2" eb="3">
      <t>ノ</t>
    </rPh>
    <rPh sb="8" eb="10">
      <t>テイキョウ</t>
    </rPh>
    <rPh sb="10" eb="12">
      <t>カイスウ</t>
    </rPh>
    <phoneticPr fontId="50"/>
  </si>
  <si>
    <r>
      <t>⑧-1</t>
    </r>
    <r>
      <rPr>
        <b/>
        <sz val="11"/>
        <color rgb="FFFF0000"/>
        <rFont val="HG丸ｺﾞｼｯｸM-PRO"/>
        <family val="3"/>
        <charset val="128"/>
      </rPr>
      <t>（居宅介護のみ）</t>
    </r>
    <r>
      <rPr>
        <sz val="11"/>
        <color theme="1"/>
        <rFont val="HG丸ｺﾞｼｯｸM-PRO"/>
        <family val="3"/>
        <charset val="128"/>
      </rPr>
      <t>利用者１人１プランあたりサービス活動収益(円)／1プラン；</t>
    </r>
    <rPh sb="4" eb="6">
      <t>キョタク</t>
    </rPh>
    <rPh sb="6" eb="8">
      <t>カイゴ</t>
    </rPh>
    <rPh sb="11" eb="14">
      <t>リヨウシャ</t>
    </rPh>
    <rPh sb="15" eb="16">
      <t>ニン</t>
    </rPh>
    <rPh sb="27" eb="29">
      <t>カツドウ</t>
    </rPh>
    <rPh sb="29" eb="31">
      <t>シュウエキ</t>
    </rPh>
    <rPh sb="32" eb="33">
      <t>エン</t>
    </rPh>
    <phoneticPr fontId="50"/>
  </si>
  <si>
    <t>純然たるサービス活動収益 ÷ 年間保有ケアプラン数</t>
    <rPh sb="15" eb="17">
      <t>ネンカン</t>
    </rPh>
    <rPh sb="17" eb="19">
      <t>ホユウ</t>
    </rPh>
    <rPh sb="24" eb="25">
      <t>スウ</t>
    </rPh>
    <phoneticPr fontId="50"/>
  </si>
  <si>
    <t>年間保有ケアプラン数</t>
    <rPh sb="0" eb="2">
      <t>ネンカン</t>
    </rPh>
    <rPh sb="2" eb="4">
      <t>ホユウ</t>
    </rPh>
    <rPh sb="9" eb="10">
      <t>スウ</t>
    </rPh>
    <phoneticPr fontId="50"/>
  </si>
  <si>
    <r>
      <t>⑧-2</t>
    </r>
    <r>
      <rPr>
        <b/>
        <sz val="11"/>
        <color rgb="FFFF0000"/>
        <rFont val="HG丸ｺﾞｼｯｸM-PRO"/>
        <family val="3"/>
        <charset val="128"/>
      </rPr>
      <t>（居宅介護のみ）</t>
    </r>
    <r>
      <rPr>
        <sz val="11"/>
        <color theme="1"/>
        <rFont val="HG丸ｺﾞｼｯｸM-PRO"/>
        <family val="3"/>
        <charset val="128"/>
      </rPr>
      <t>（常勤換算）職員１人あたりケアプラン／人；</t>
    </r>
    <rPh sb="4" eb="6">
      <t>キョタク</t>
    </rPh>
    <rPh sb="6" eb="8">
      <t>カイゴ</t>
    </rPh>
    <rPh sb="12" eb="14">
      <t>ジョウキン</t>
    </rPh>
    <rPh sb="14" eb="16">
      <t>カンザン</t>
    </rPh>
    <rPh sb="17" eb="19">
      <t>ショクイン</t>
    </rPh>
    <rPh sb="20" eb="21">
      <t>ニン</t>
    </rPh>
    <rPh sb="30" eb="31">
      <t>ニン</t>
    </rPh>
    <phoneticPr fontId="50"/>
  </si>
  <si>
    <t>年間保有ケアプラン数 ÷ 常勤換算職員数</t>
    <rPh sb="0" eb="2">
      <t>ネンカン</t>
    </rPh>
    <rPh sb="2" eb="4">
      <t>ホユウ</t>
    </rPh>
    <rPh sb="9" eb="10">
      <t>スウ</t>
    </rPh>
    <rPh sb="13" eb="15">
      <t>ジョウキン</t>
    </rPh>
    <rPh sb="15" eb="17">
      <t>カンザン</t>
    </rPh>
    <rPh sb="17" eb="20">
      <t>ショクインスウ</t>
    </rPh>
    <phoneticPr fontId="50"/>
  </si>
  <si>
    <t>12か月</t>
    <rPh sb="3" eb="4">
      <t>ゲツ</t>
    </rPh>
    <phoneticPr fontId="50"/>
  </si>
  <si>
    <t>常勤換算職員数</t>
    <rPh sb="0" eb="2">
      <t>ジョウキン</t>
    </rPh>
    <rPh sb="2" eb="4">
      <t>カンザン</t>
    </rPh>
    <rPh sb="4" eb="6">
      <t>ショクイン</t>
    </rPh>
    <rPh sb="6" eb="7">
      <t>スウ</t>
    </rPh>
    <phoneticPr fontId="50"/>
  </si>
  <si>
    <t>(人）</t>
    <rPh sb="1" eb="2">
      <t>ニン</t>
    </rPh>
    <phoneticPr fontId="50"/>
  </si>
  <si>
    <t>◆合理性の指標</t>
    <rPh sb="1" eb="4">
      <t>ゴウリセイ</t>
    </rPh>
    <rPh sb="5" eb="7">
      <t>シヒョウ</t>
    </rPh>
    <phoneticPr fontId="50"/>
  </si>
  <si>
    <t>⑨人件費率（％）</t>
    <rPh sb="1" eb="4">
      <t>ジンケンヒ</t>
    </rPh>
    <rPh sb="4" eb="5">
      <t>リツ</t>
    </rPh>
    <phoneticPr fontId="50"/>
  </si>
  <si>
    <t>（人件費 ＋ 福利厚生費）÷ 純然たるサービス活動収益 ×100</t>
    <rPh sb="1" eb="4">
      <t>ジンケンヒ</t>
    </rPh>
    <rPh sb="7" eb="9">
      <t>フクリ</t>
    </rPh>
    <rPh sb="9" eb="12">
      <t>コウセイヒ</t>
    </rPh>
    <rPh sb="15" eb="17">
      <t>ジュンゼン</t>
    </rPh>
    <rPh sb="23" eb="25">
      <t>カツドウ</t>
    </rPh>
    <rPh sb="25" eb="27">
      <t>シュウエキ</t>
    </rPh>
    <phoneticPr fontId="50"/>
  </si>
  <si>
    <t>＋</t>
    <phoneticPr fontId="50"/>
  </si>
  <si>
    <t>）÷</t>
    <phoneticPr fontId="50"/>
  </si>
  <si>
    <t>×100＝</t>
    <phoneticPr fontId="50"/>
  </si>
  <si>
    <t>人件費</t>
    <rPh sb="0" eb="3">
      <t>ジンケンヒ</t>
    </rPh>
    <phoneticPr fontId="50"/>
  </si>
  <si>
    <t>福利厚生費</t>
    <rPh sb="0" eb="2">
      <t>フクリ</t>
    </rPh>
    <rPh sb="2" eb="5">
      <t>コウセイヒ</t>
    </rPh>
    <phoneticPr fontId="50"/>
  </si>
  <si>
    <t>⑩事業費率（％）；</t>
    <rPh sb="1" eb="4">
      <t>ジギョウヒ</t>
    </rPh>
    <rPh sb="4" eb="5">
      <t>リツ</t>
    </rPh>
    <phoneticPr fontId="50"/>
  </si>
  <si>
    <t>事業費 ÷ 純然たるサービス活動収益 ×100</t>
    <phoneticPr fontId="50"/>
  </si>
  <si>
    <t>事業費</t>
    <rPh sb="0" eb="3">
      <t>ジギョウヒ</t>
    </rPh>
    <phoneticPr fontId="50"/>
  </si>
  <si>
    <t>⑪減価償却費率（％）；</t>
    <rPh sb="1" eb="3">
      <t>ゲンカ</t>
    </rPh>
    <rPh sb="3" eb="5">
      <t>ショウキャク</t>
    </rPh>
    <rPh sb="5" eb="6">
      <t>ヒ</t>
    </rPh>
    <rPh sb="6" eb="7">
      <t>リツ</t>
    </rPh>
    <phoneticPr fontId="50"/>
  </si>
  <si>
    <t>（減価償却費ー国庫補助金等特別積立金取崩額）÷ 純然たるサービス活動収益×100</t>
    <rPh sb="1" eb="3">
      <t>ゲンカ</t>
    </rPh>
    <rPh sb="3" eb="5">
      <t>ショウキャク</t>
    </rPh>
    <rPh sb="5" eb="6">
      <t>ヒ</t>
    </rPh>
    <rPh sb="7" eb="9">
      <t>コッコ</t>
    </rPh>
    <rPh sb="9" eb="12">
      <t>ホジョキン</t>
    </rPh>
    <rPh sb="12" eb="13">
      <t>トウ</t>
    </rPh>
    <rPh sb="13" eb="15">
      <t>トクベツ</t>
    </rPh>
    <rPh sb="15" eb="17">
      <t>ツミタテ</t>
    </rPh>
    <rPh sb="17" eb="18">
      <t>キン</t>
    </rPh>
    <rPh sb="18" eb="20">
      <t>トリクズシ</t>
    </rPh>
    <rPh sb="20" eb="21">
      <t>ガク</t>
    </rPh>
    <rPh sb="24" eb="26">
      <t>ジュンゼン</t>
    </rPh>
    <rPh sb="32" eb="34">
      <t>カツドウ</t>
    </rPh>
    <rPh sb="34" eb="36">
      <t>シュウエキ</t>
    </rPh>
    <phoneticPr fontId="50"/>
  </si>
  <si>
    <t>減価償却費</t>
    <rPh sb="0" eb="2">
      <t>ゲンカ</t>
    </rPh>
    <rPh sb="2" eb="4">
      <t>ショウキャク</t>
    </rPh>
    <rPh sb="4" eb="5">
      <t>ヒ</t>
    </rPh>
    <phoneticPr fontId="50"/>
  </si>
  <si>
    <t>国庫補助金等特別積立金取崩額</t>
    <rPh sb="0" eb="2">
      <t>コッコ</t>
    </rPh>
    <rPh sb="2" eb="5">
      <t>ホジョキン</t>
    </rPh>
    <rPh sb="5" eb="6">
      <t>トウ</t>
    </rPh>
    <rPh sb="6" eb="8">
      <t>トクベツ</t>
    </rPh>
    <rPh sb="8" eb="10">
      <t>ツミタテ</t>
    </rPh>
    <rPh sb="10" eb="11">
      <t>キン</t>
    </rPh>
    <rPh sb="11" eb="13">
      <t>トリクズシ</t>
    </rPh>
    <rPh sb="13" eb="14">
      <t>ガク</t>
    </rPh>
    <phoneticPr fontId="50"/>
  </si>
  <si>
    <t>⑫業務委託費率（％）；</t>
    <rPh sb="1" eb="3">
      <t>ギョウム</t>
    </rPh>
    <rPh sb="3" eb="5">
      <t>イタク</t>
    </rPh>
    <rPh sb="5" eb="6">
      <t>ヒ</t>
    </rPh>
    <rPh sb="6" eb="7">
      <t>リツ</t>
    </rPh>
    <phoneticPr fontId="50"/>
  </si>
  <si>
    <t>業務委託費 ÷ 純然たるサービス活動収益 ×100</t>
    <rPh sb="0" eb="2">
      <t>ギョウム</t>
    </rPh>
    <rPh sb="2" eb="4">
      <t>イタク</t>
    </rPh>
    <rPh sb="4" eb="5">
      <t>ヒ</t>
    </rPh>
    <rPh sb="8" eb="10">
      <t>ジュンゼン</t>
    </rPh>
    <rPh sb="16" eb="18">
      <t>カツドウ</t>
    </rPh>
    <rPh sb="18" eb="20">
      <t>シュウエキ</t>
    </rPh>
    <phoneticPr fontId="50"/>
  </si>
  <si>
    <t>業務委託費</t>
    <rPh sb="0" eb="2">
      <t>ギョウム</t>
    </rPh>
    <rPh sb="2" eb="4">
      <t>イタク</t>
    </rPh>
    <rPh sb="4" eb="5">
      <t>ヒ</t>
    </rPh>
    <phoneticPr fontId="50"/>
  </si>
  <si>
    <t>⑬事務費率（％）；</t>
    <rPh sb="1" eb="3">
      <t>ジム</t>
    </rPh>
    <rPh sb="3" eb="4">
      <t>ヒ</t>
    </rPh>
    <rPh sb="4" eb="5">
      <t>リツ</t>
    </rPh>
    <phoneticPr fontId="50"/>
  </si>
  <si>
    <t>（事務費 ー 福利厚生費 ー 業務委託費）÷ 純然たるサービス活動収益 ×100</t>
    <rPh sb="1" eb="4">
      <t>ジムヒ</t>
    </rPh>
    <rPh sb="7" eb="9">
      <t>フクリ</t>
    </rPh>
    <rPh sb="9" eb="12">
      <t>コウセイヒ</t>
    </rPh>
    <rPh sb="15" eb="17">
      <t>ギョウム</t>
    </rPh>
    <rPh sb="17" eb="19">
      <t>イタク</t>
    </rPh>
    <rPh sb="19" eb="20">
      <t>ヒ</t>
    </rPh>
    <rPh sb="23" eb="25">
      <t>ジュンゼン</t>
    </rPh>
    <rPh sb="31" eb="33">
      <t>カツドウ</t>
    </rPh>
    <rPh sb="33" eb="35">
      <t>シュウエキ</t>
    </rPh>
    <phoneticPr fontId="50"/>
  </si>
  <si>
    <t>）</t>
    <phoneticPr fontId="50"/>
  </si>
  <si>
    <t>事務費</t>
    <rPh sb="0" eb="3">
      <t>ジムヒ</t>
    </rPh>
    <phoneticPr fontId="50"/>
  </si>
  <si>
    <t>÷　</t>
    <phoneticPr fontId="50"/>
  </si>
  <si>
    <t>◆生産性の指標</t>
    <rPh sb="1" eb="4">
      <t>セイサンセイ</t>
    </rPh>
    <rPh sb="5" eb="7">
      <t>シヒョウ</t>
    </rPh>
    <phoneticPr fontId="50"/>
  </si>
  <si>
    <t>⑭職員１人あたりの給与費（円）；</t>
    <rPh sb="1" eb="3">
      <t>ショクイン</t>
    </rPh>
    <rPh sb="3" eb="5">
      <t>ヒトリ</t>
    </rPh>
    <rPh sb="9" eb="11">
      <t>キュウヨ</t>
    </rPh>
    <rPh sb="11" eb="12">
      <t>ヒ</t>
    </rPh>
    <rPh sb="13" eb="14">
      <t>エン</t>
    </rPh>
    <phoneticPr fontId="50"/>
  </si>
  <si>
    <t>（人件費 ＋ 福利厚生費）÷ 常勤換算職員数 ÷ 12ヵ月</t>
    <rPh sb="1" eb="4">
      <t>ジンケンヒ</t>
    </rPh>
    <rPh sb="7" eb="9">
      <t>フクリ</t>
    </rPh>
    <rPh sb="9" eb="12">
      <t>コウセイヒ</t>
    </rPh>
    <rPh sb="15" eb="17">
      <t>ジョウキン</t>
    </rPh>
    <rPh sb="17" eb="19">
      <t>カンザン</t>
    </rPh>
    <rPh sb="19" eb="22">
      <t>ショクインスウ</t>
    </rPh>
    <rPh sb="28" eb="29">
      <t>ゲツ</t>
    </rPh>
    <phoneticPr fontId="50"/>
  </si>
  <si>
    <t>÷12＝</t>
    <phoneticPr fontId="50"/>
  </si>
  <si>
    <t>（円）</t>
  </si>
  <si>
    <t>⑮職員1人あたりサービス活動収益（円）；</t>
    <rPh sb="1" eb="3">
      <t>ショクイン</t>
    </rPh>
    <rPh sb="3" eb="5">
      <t>ヒトリ</t>
    </rPh>
    <rPh sb="12" eb="14">
      <t>カツドウ</t>
    </rPh>
    <rPh sb="14" eb="16">
      <t>シュウエキ</t>
    </rPh>
    <rPh sb="17" eb="18">
      <t>エン</t>
    </rPh>
    <phoneticPr fontId="50"/>
  </si>
  <si>
    <t>純然たるサービス活動収益 ÷ 常勤換算職員数 ÷ 12ヵ月</t>
    <rPh sb="0" eb="2">
      <t>ジュンゼン</t>
    </rPh>
    <rPh sb="8" eb="10">
      <t>カツドウ</t>
    </rPh>
    <rPh sb="10" eb="12">
      <t>シュウエキ</t>
    </rPh>
    <rPh sb="15" eb="17">
      <t>ジョウキン</t>
    </rPh>
    <rPh sb="17" eb="19">
      <t>カンザン</t>
    </rPh>
    <rPh sb="19" eb="22">
      <t>ショクインスウ</t>
    </rPh>
    <rPh sb="28" eb="29">
      <t>ゲツ</t>
    </rPh>
    <phoneticPr fontId="50"/>
  </si>
  <si>
    <t>⑯労働生産性（円）；</t>
    <rPh sb="1" eb="3">
      <t>ロウドウ</t>
    </rPh>
    <rPh sb="3" eb="6">
      <t>セイサンセイ</t>
    </rPh>
    <rPh sb="7" eb="8">
      <t>エン</t>
    </rPh>
    <phoneticPr fontId="50"/>
  </si>
  <si>
    <t>（純然たるサービス活動収益 ー（事業費＋業務委託費 ＋ 減価償却費 
　　　　　　　　　　ー 国庫補助金等特別積立金取崩額））÷ 常勤換算職員数 ÷12ヵ月</t>
    <rPh sb="1" eb="3">
      <t>ジュンゼン</t>
    </rPh>
    <rPh sb="9" eb="11">
      <t>カツドウ</t>
    </rPh>
    <rPh sb="11" eb="13">
      <t>シュウエキ</t>
    </rPh>
    <rPh sb="16" eb="19">
      <t>ジギョウヒ</t>
    </rPh>
    <rPh sb="20" eb="22">
      <t>ギョウム</t>
    </rPh>
    <rPh sb="22" eb="24">
      <t>イタク</t>
    </rPh>
    <rPh sb="24" eb="25">
      <t>ヒ</t>
    </rPh>
    <rPh sb="28" eb="30">
      <t>ゲンカ</t>
    </rPh>
    <rPh sb="30" eb="32">
      <t>ショウキャク</t>
    </rPh>
    <rPh sb="32" eb="33">
      <t>ヒ</t>
    </rPh>
    <rPh sb="47" eb="49">
      <t>コッコ</t>
    </rPh>
    <rPh sb="49" eb="52">
      <t>ホジョキン</t>
    </rPh>
    <rPh sb="52" eb="53">
      <t>トウ</t>
    </rPh>
    <rPh sb="53" eb="55">
      <t>トクベツ</t>
    </rPh>
    <rPh sb="55" eb="57">
      <t>ツミタテ</t>
    </rPh>
    <rPh sb="57" eb="58">
      <t>キン</t>
    </rPh>
    <rPh sb="58" eb="60">
      <t>トリクズシ</t>
    </rPh>
    <rPh sb="60" eb="61">
      <t>ガク</t>
    </rPh>
    <rPh sb="65" eb="67">
      <t>ジョウキン</t>
    </rPh>
    <rPh sb="67" eb="69">
      <t>カンザン</t>
    </rPh>
    <rPh sb="69" eb="72">
      <t>ショクインスウ</t>
    </rPh>
    <rPh sb="77" eb="78">
      <t>ゲツ</t>
    </rPh>
    <phoneticPr fontId="50"/>
  </si>
  <si>
    <t>－（</t>
    <phoneticPr fontId="50"/>
  </si>
  <si>
    <t>））÷</t>
    <phoneticPr fontId="50"/>
  </si>
  <si>
    <t>⑰労働分配率（％）；</t>
    <rPh sb="1" eb="3">
      <t>ロウドウ</t>
    </rPh>
    <rPh sb="3" eb="5">
      <t>ブンパイ</t>
    </rPh>
    <rPh sb="5" eb="6">
      <t>リツ</t>
    </rPh>
    <phoneticPr fontId="50"/>
  </si>
  <si>
    <t>⑭職員1人あたりの給与費 ÷ ⑯労働生産性 ×100</t>
    <rPh sb="1" eb="3">
      <t>ショクイン</t>
    </rPh>
    <rPh sb="3" eb="5">
      <t>ヒトリ</t>
    </rPh>
    <rPh sb="9" eb="11">
      <t>キュウヨ</t>
    </rPh>
    <rPh sb="11" eb="12">
      <t>ヒ</t>
    </rPh>
    <rPh sb="16" eb="18">
      <t>ロウドウ</t>
    </rPh>
    <rPh sb="18" eb="21">
      <t>セイサンセイ</t>
    </rPh>
    <phoneticPr fontId="50"/>
  </si>
  <si>
    <t>介護報酬収益 ÷ 年間延べサービス提供時間</t>
    <rPh sb="0" eb="2">
      <t>カイゴ</t>
    </rPh>
    <rPh sb="2" eb="4">
      <t>ホウシュウ</t>
    </rPh>
    <rPh sb="4" eb="6">
      <t>シュウエキ</t>
    </rPh>
    <rPh sb="9" eb="11">
      <t>ネンカン</t>
    </rPh>
    <rPh sb="11" eb="12">
      <t>ノ</t>
    </rPh>
    <rPh sb="17" eb="19">
      <t>テイキョウ</t>
    </rPh>
    <rPh sb="19" eb="21">
      <t>ジカン</t>
    </rPh>
    <phoneticPr fontId="50"/>
  </si>
  <si>
    <t>介護報酬収益</t>
    <rPh sb="0" eb="6">
      <t>カイゴホウシュウシュウエキ</t>
    </rPh>
    <phoneticPr fontId="50"/>
  </si>
  <si>
    <t>介護報酬収益 ÷ 年間延べサービス提供回数</t>
    <rPh sb="0" eb="2">
      <t>カイゴ</t>
    </rPh>
    <rPh sb="2" eb="4">
      <t>ホウシュウ</t>
    </rPh>
    <rPh sb="4" eb="6">
      <t>シュウエキ</t>
    </rPh>
    <rPh sb="9" eb="11">
      <t>ネンカン</t>
    </rPh>
    <rPh sb="11" eb="12">
      <t>ノ</t>
    </rPh>
    <rPh sb="17" eb="19">
      <t>テイキョウ</t>
    </rPh>
    <phoneticPr fontId="50"/>
  </si>
  <si>
    <t>職員1人当たり給与費</t>
    <rPh sb="0" eb="2">
      <t>ショクイン</t>
    </rPh>
    <rPh sb="2" eb="4">
      <t>ヒトリ</t>
    </rPh>
    <rPh sb="4" eb="5">
      <t>ア</t>
    </rPh>
    <rPh sb="7" eb="9">
      <t>キュウヨ</t>
    </rPh>
    <rPh sb="9" eb="10">
      <t>ヒ</t>
    </rPh>
    <phoneticPr fontId="50"/>
  </si>
  <si>
    <t>労働生産性</t>
    <rPh sb="0" eb="2">
      <t>ロウドウ</t>
    </rPh>
    <rPh sb="2" eb="5">
      <t>セイサンセイ</t>
    </rPh>
    <phoneticPr fontId="50"/>
  </si>
  <si>
    <t>「施設基本項目調査票（以下、調査票）」と「平成29年度決算書類（以下、決算書）」のデータをそれぞれご提出ください。</t>
    <rPh sb="1" eb="3">
      <t>シセツ</t>
    </rPh>
    <rPh sb="3" eb="5">
      <t>キホン</t>
    </rPh>
    <rPh sb="5" eb="7">
      <t>コウモク</t>
    </rPh>
    <rPh sb="7" eb="10">
      <t>チョウサヒョウ</t>
    </rPh>
    <rPh sb="11" eb="13">
      <t>イカ</t>
    </rPh>
    <rPh sb="14" eb="17">
      <t>チョウサヒョウ</t>
    </rPh>
    <rPh sb="21" eb="23">
      <t>ヘイセイ</t>
    </rPh>
    <rPh sb="25" eb="27">
      <t>ネンド</t>
    </rPh>
    <rPh sb="27" eb="29">
      <t>ケッサン</t>
    </rPh>
    <rPh sb="29" eb="31">
      <t>ショルイ</t>
    </rPh>
    <rPh sb="32" eb="34">
      <t>イカ</t>
    </rPh>
    <rPh sb="35" eb="38">
      <t>ケッサンショ</t>
    </rPh>
    <rPh sb="50" eb="52">
      <t>テイシュツ</t>
    </rPh>
    <phoneticPr fontId="10"/>
  </si>
  <si>
    <t>平成29年度決算書類</t>
    <rPh sb="0" eb="2">
      <t>ヘイセイ</t>
    </rPh>
    <rPh sb="4" eb="6">
      <t>ネンド</t>
    </rPh>
    <rPh sb="6" eb="8">
      <t>ケッサン</t>
    </rPh>
    <rPh sb="8" eb="10">
      <t>ショルイ</t>
    </rPh>
    <phoneticPr fontId="10"/>
  </si>
  <si>
    <t>提出期限 ： 平 成30年7月13日（金）必着</t>
    <rPh sb="0" eb="2">
      <t>テイシュツ</t>
    </rPh>
    <rPh sb="19" eb="20">
      <t>キン</t>
    </rPh>
    <phoneticPr fontId="10"/>
  </si>
  <si>
    <t>要介護1</t>
    <phoneticPr fontId="10"/>
  </si>
  <si>
    <t>要介護2</t>
    <phoneticPr fontId="10"/>
  </si>
  <si>
    <t>要介護2</t>
    <rPh sb="0" eb="3">
      <t>ヨウカイゴ</t>
    </rPh>
    <phoneticPr fontId="27"/>
  </si>
  <si>
    <t>要介護1・2を分ける</t>
    <rPh sb="0" eb="3">
      <t>ヨウカイゴ</t>
    </rPh>
    <rPh sb="7" eb="8">
      <t>ワ</t>
    </rPh>
    <phoneticPr fontId="27"/>
  </si>
  <si>
    <t>日本在住の外国人介護職員</t>
    <rPh sb="0" eb="2">
      <t>ニホン</t>
    </rPh>
    <rPh sb="2" eb="4">
      <t>ザイジュウ</t>
    </rPh>
    <rPh sb="5" eb="7">
      <t>ガイコク</t>
    </rPh>
    <rPh sb="7" eb="8">
      <t>ジン</t>
    </rPh>
    <rPh sb="8" eb="10">
      <t>カイゴ</t>
    </rPh>
    <rPh sb="10" eb="11">
      <t>ショク</t>
    </rPh>
    <rPh sb="11" eb="12">
      <t>イン</t>
    </rPh>
    <phoneticPr fontId="10"/>
  </si>
  <si>
    <t>介護福祉士候補生（EPA)</t>
    <rPh sb="0" eb="8">
      <t>カイゴフクシシコウホセイ</t>
    </rPh>
    <phoneticPr fontId="10"/>
  </si>
  <si>
    <t>円</t>
    <rPh sb="0" eb="1">
      <t>エン</t>
    </rPh>
    <phoneticPr fontId="10"/>
  </si>
  <si>
    <t>夜勤形態</t>
    <rPh sb="0" eb="2">
      <t>ヤキン</t>
    </rPh>
    <rPh sb="2" eb="4">
      <t>ケイタイ</t>
    </rPh>
    <phoneticPr fontId="27"/>
  </si>
  <si>
    <t>金額</t>
    <rPh sb="0" eb="2">
      <t>キンガク</t>
    </rPh>
    <phoneticPr fontId="27"/>
  </si>
  <si>
    <t>年間休日日数</t>
    <rPh sb="0" eb="2">
      <t>ネンカン</t>
    </rPh>
    <rPh sb="2" eb="4">
      <t>キュウジツ</t>
    </rPh>
    <rPh sb="4" eb="6">
      <t>ニッスウ</t>
    </rPh>
    <phoneticPr fontId="27"/>
  </si>
  <si>
    <t>　　　　　　　　　　　　　　 あり_実務者研修修了者（旧ヘルパー1級相当）</t>
    <phoneticPr fontId="27"/>
  </si>
  <si>
    <t>追加</t>
    <rPh sb="0" eb="2">
      <t>ツイカ</t>
    </rPh>
    <phoneticPr fontId="27"/>
  </si>
  <si>
    <t>15.食費及び居住費等の設定単価</t>
    <phoneticPr fontId="10"/>
  </si>
  <si>
    <t>18.日常生活継続支援加算の取得状況</t>
    <rPh sb="3" eb="5">
      <t>ニチジョウ</t>
    </rPh>
    <rPh sb="5" eb="7">
      <t>セイカツ</t>
    </rPh>
    <rPh sb="7" eb="9">
      <t>ケイゾク</t>
    </rPh>
    <rPh sb="9" eb="11">
      <t>シエン</t>
    </rPh>
    <rPh sb="11" eb="13">
      <t>カサン</t>
    </rPh>
    <rPh sb="14" eb="16">
      <t>シュトク</t>
    </rPh>
    <rPh sb="16" eb="18">
      <t>ジョウキョウ</t>
    </rPh>
    <phoneticPr fontId="10"/>
  </si>
  <si>
    <t>23.高齢年齢者雇用安定法への対応（継続雇用制度への対応について）</t>
    <rPh sb="3" eb="5">
      <t>コウレイ</t>
    </rPh>
    <rPh sb="5" eb="7">
      <t>ネンレイ</t>
    </rPh>
    <rPh sb="7" eb="8">
      <t>シャ</t>
    </rPh>
    <rPh sb="8" eb="10">
      <t>コヨウ</t>
    </rPh>
    <rPh sb="10" eb="12">
      <t>アンテイ</t>
    </rPh>
    <rPh sb="12" eb="13">
      <t>ホウ</t>
    </rPh>
    <rPh sb="15" eb="17">
      <t>タイオウ</t>
    </rPh>
    <rPh sb="18" eb="20">
      <t>ケイゾク</t>
    </rPh>
    <rPh sb="20" eb="22">
      <t>コヨウ</t>
    </rPh>
    <rPh sb="22" eb="24">
      <t>セイド</t>
    </rPh>
    <rPh sb="26" eb="28">
      <t>タイオウ</t>
    </rPh>
    <phoneticPr fontId="10"/>
  </si>
  <si>
    <t>24.介護職員の年間採用・退職者の状況</t>
    <rPh sb="3" eb="5">
      <t>カイゴ</t>
    </rPh>
    <rPh sb="5" eb="7">
      <t>ショクイン</t>
    </rPh>
    <rPh sb="8" eb="10">
      <t>ネンカン</t>
    </rPh>
    <rPh sb="10" eb="12">
      <t>サイヨウ</t>
    </rPh>
    <rPh sb="13" eb="15">
      <t>タイショク</t>
    </rPh>
    <rPh sb="15" eb="16">
      <t>シャ</t>
    </rPh>
    <rPh sb="17" eb="19">
      <t>ジョウキョウ</t>
    </rPh>
    <phoneticPr fontId="10"/>
  </si>
  <si>
    <t>施設の体制や職員配置等が理由で、受け入れられない</t>
    <rPh sb="0" eb="2">
      <t>シセツ</t>
    </rPh>
    <rPh sb="3" eb="5">
      <t>タイセイ</t>
    </rPh>
    <rPh sb="6" eb="8">
      <t>ショクイン</t>
    </rPh>
    <rPh sb="8" eb="10">
      <t>ハイチ</t>
    </rPh>
    <rPh sb="10" eb="11">
      <t>ナド</t>
    </rPh>
    <rPh sb="12" eb="14">
      <t>リユウ</t>
    </rPh>
    <rPh sb="16" eb="17">
      <t>ウ</t>
    </rPh>
    <rPh sb="18" eb="19">
      <t>イ</t>
    </rPh>
    <phoneticPr fontId="10"/>
  </si>
  <si>
    <t>留学生（外国人専門派遣職員含む）</t>
    <rPh sb="0" eb="3">
      <t>リュウガクセイ</t>
    </rPh>
    <rPh sb="4" eb="6">
      <t>ガイコク</t>
    </rPh>
    <rPh sb="6" eb="7">
      <t>ジン</t>
    </rPh>
    <rPh sb="7" eb="9">
      <t>センモン</t>
    </rPh>
    <phoneticPr fontId="10"/>
  </si>
  <si>
    <t>⇒</t>
    <phoneticPr fontId="10"/>
  </si>
  <si>
    <t>⇒</t>
    <phoneticPr fontId="10"/>
  </si>
  <si>
    <t>採用経費_新卒</t>
    <rPh sb="0" eb="2">
      <t>サイヨウ</t>
    </rPh>
    <rPh sb="2" eb="4">
      <t>ケイヒ</t>
    </rPh>
    <rPh sb="5" eb="7">
      <t>シンソツ</t>
    </rPh>
    <phoneticPr fontId="27"/>
  </si>
  <si>
    <t>採用経費_中途</t>
    <rPh sb="0" eb="2">
      <t>サイヨウ</t>
    </rPh>
    <rPh sb="2" eb="4">
      <t>ケイヒ</t>
    </rPh>
    <rPh sb="5" eb="7">
      <t>チュウト</t>
    </rPh>
    <phoneticPr fontId="27"/>
  </si>
  <si>
    <t>採用経費について</t>
    <rPh sb="0" eb="2">
      <t>サイヨウ</t>
    </rPh>
    <rPh sb="2" eb="4">
      <t>ケイヒ</t>
    </rPh>
    <phoneticPr fontId="10"/>
  </si>
  <si>
    <t>採用経費_紹介予定派遣</t>
    <rPh sb="0" eb="2">
      <t>サイヨウ</t>
    </rPh>
    <rPh sb="2" eb="4">
      <t>ケイヒ</t>
    </rPh>
    <rPh sb="5" eb="7">
      <t>ショウカイ</t>
    </rPh>
    <rPh sb="7" eb="9">
      <t>ヨテイ</t>
    </rPh>
    <rPh sb="9" eb="11">
      <t>ハケン</t>
    </rPh>
    <phoneticPr fontId="27"/>
  </si>
  <si>
    <t>中途採用者の内、「派遣職員からの雇入れ」は、派遣期間後に正社員や契約社員として働くことを前提にした紹介予定派遣を含みません。</t>
    <rPh sb="0" eb="2">
      <t>チュウト</t>
    </rPh>
    <rPh sb="2" eb="5">
      <t>サイヨウシャ</t>
    </rPh>
    <rPh sb="6" eb="7">
      <t>ウチ</t>
    </rPh>
    <rPh sb="9" eb="11">
      <t>ハケン</t>
    </rPh>
    <rPh sb="11" eb="13">
      <t>ショクイン</t>
    </rPh>
    <rPh sb="16" eb="18">
      <t>ヤトイイ</t>
    </rPh>
    <rPh sb="22" eb="24">
      <t>ハケン</t>
    </rPh>
    <rPh sb="24" eb="26">
      <t>キカン</t>
    </rPh>
    <rPh sb="26" eb="27">
      <t>ゴ</t>
    </rPh>
    <rPh sb="28" eb="31">
      <t>セイシャイン</t>
    </rPh>
    <rPh sb="32" eb="34">
      <t>ケイヤク</t>
    </rPh>
    <rPh sb="34" eb="36">
      <t>シャイン</t>
    </rPh>
    <rPh sb="39" eb="40">
      <t>ハタラ</t>
    </rPh>
    <rPh sb="44" eb="46">
      <t>ゼンテイ</t>
    </rPh>
    <rPh sb="49" eb="51">
      <t>ショウカイ</t>
    </rPh>
    <rPh sb="51" eb="53">
      <t>ヨテイ</t>
    </rPh>
    <rPh sb="53" eb="55">
      <t>ハケン</t>
    </rPh>
    <rPh sb="56" eb="57">
      <t>フク</t>
    </rPh>
    <phoneticPr fontId="10"/>
  </si>
  <si>
    <t>紹介予定派遣</t>
    <rPh sb="0" eb="6">
      <t>ショウカイヨテイハケン</t>
    </rPh>
    <phoneticPr fontId="10"/>
  </si>
  <si>
    <t>採用経費については、新卒・中途採用は新聞折り込みチラシ、就職ブースへの出展、ホームページ作成などの採用活動全般に関する費用を指します。紹介予定派遣は紹介手数料を指します。</t>
    <rPh sb="0" eb="2">
      <t>サイヨウ</t>
    </rPh>
    <rPh sb="2" eb="4">
      <t>ケイヒ</t>
    </rPh>
    <rPh sb="62" eb="63">
      <t>サ</t>
    </rPh>
    <rPh sb="67" eb="69">
      <t>ショウカイ</t>
    </rPh>
    <rPh sb="69" eb="71">
      <t>ヨテイ</t>
    </rPh>
    <rPh sb="71" eb="73">
      <t>ハケン</t>
    </rPh>
    <rPh sb="74" eb="76">
      <t>ショウカイ</t>
    </rPh>
    <rPh sb="76" eb="79">
      <t>テスウリョウ</t>
    </rPh>
    <rPh sb="80" eb="81">
      <t>サ</t>
    </rPh>
    <phoneticPr fontId="10"/>
  </si>
  <si>
    <t>「集計アシストシート」がありますので、ご活用ください。</t>
    <rPh sb="1" eb="3">
      <t>シュウケイ</t>
    </rPh>
    <rPh sb="20" eb="22">
      <t>カツヨウ</t>
    </rPh>
    <phoneticPr fontId="10"/>
  </si>
  <si>
    <t>人数</t>
    <rPh sb="0" eb="2">
      <t>ニンズウ</t>
    </rPh>
    <phoneticPr fontId="10"/>
  </si>
  <si>
    <t>1時間当たり手当額</t>
    <rPh sb="1" eb="3">
      <t>ジカン</t>
    </rPh>
    <rPh sb="3" eb="4">
      <t>ア</t>
    </rPh>
    <rPh sb="6" eb="9">
      <t>テアテガク</t>
    </rPh>
    <phoneticPr fontId="10"/>
  </si>
  <si>
    <t>1回あたり手当額</t>
    <rPh sb="1" eb="2">
      <t>カイ</t>
    </rPh>
    <rPh sb="5" eb="8">
      <t>テアテガク</t>
    </rPh>
    <phoneticPr fontId="10"/>
  </si>
  <si>
    <t xml:space="preserve"> </t>
    <phoneticPr fontId="10"/>
  </si>
  <si>
    <t>1時間あたり手当額</t>
    <rPh sb="1" eb="3">
      <t>ジカン</t>
    </rPh>
    <rPh sb="6" eb="9">
      <t>テアテガク</t>
    </rPh>
    <phoneticPr fontId="10"/>
  </si>
  <si>
    <t>-</t>
    <phoneticPr fontId="10"/>
  </si>
  <si>
    <t>⑧回答するためにデータを取りまとめる必要がある、
　「21.介護職員の実人数（性別・年齢別・勤続年数別）」　「24.介護職員の年間採用・退職者の状況」
  の2設問については、「集計アシストシート」を別シートに作成しています。
　貴施設で作成している職員台帳などのデータをコピー・貼り付けると、自動で回答データを
　集計し、設問横（改ページプレビューでグレーになっている表）に表示されます。
　設問横の数値をコピーし、設問の回答セルに貼り付けてください。
　なお、「集計アシストシート」には個人情報が含まれていますので、調査票をご提出時は、
　「集計アシストシート」の情報を削除してからご提出ください。
　（必ず、設問の回答セルに数値を貼り付けまたは入力した上で削除してください）</t>
    <rPh sb="1" eb="3">
      <t>カイトウ</t>
    </rPh>
    <rPh sb="12" eb="13">
      <t>ト</t>
    </rPh>
    <rPh sb="18" eb="20">
      <t>ヒツヨウ</t>
    </rPh>
    <rPh sb="30" eb="32">
      <t>カイゴ</t>
    </rPh>
    <rPh sb="32" eb="34">
      <t>ショクイン</t>
    </rPh>
    <rPh sb="35" eb="36">
      <t>ジツ</t>
    </rPh>
    <rPh sb="36" eb="38">
      <t>ニンズ</t>
    </rPh>
    <rPh sb="39" eb="41">
      <t>セイベツ</t>
    </rPh>
    <rPh sb="42" eb="44">
      <t>ネンレイ</t>
    </rPh>
    <rPh sb="44" eb="45">
      <t>ベツ</t>
    </rPh>
    <rPh sb="46" eb="48">
      <t>キンゾク</t>
    </rPh>
    <rPh sb="48" eb="50">
      <t>ネンスウ</t>
    </rPh>
    <rPh sb="50" eb="51">
      <t>ベツ</t>
    </rPh>
    <rPh sb="58" eb="60">
      <t>カイゴ</t>
    </rPh>
    <rPh sb="60" eb="62">
      <t>ショクイン</t>
    </rPh>
    <rPh sb="63" eb="65">
      <t>ネンカン</t>
    </rPh>
    <rPh sb="65" eb="67">
      <t>サイヨウ</t>
    </rPh>
    <rPh sb="68" eb="70">
      <t>タイショク</t>
    </rPh>
    <rPh sb="70" eb="71">
      <t>シャ</t>
    </rPh>
    <rPh sb="72" eb="74">
      <t>ジョウキョウ</t>
    </rPh>
    <rPh sb="80" eb="82">
      <t>セツモン</t>
    </rPh>
    <rPh sb="89" eb="91">
      <t>シュウケイ</t>
    </rPh>
    <rPh sb="100" eb="101">
      <t>ベツ</t>
    </rPh>
    <rPh sb="105" eb="107">
      <t>サクセイ</t>
    </rPh>
    <rPh sb="115" eb="116">
      <t>キ</t>
    </rPh>
    <rPh sb="116" eb="118">
      <t>シセツ</t>
    </rPh>
    <rPh sb="119" eb="121">
      <t>サクセイ</t>
    </rPh>
    <rPh sb="125" eb="127">
      <t>ショクイン</t>
    </rPh>
    <rPh sb="127" eb="129">
      <t>ダイチョウ</t>
    </rPh>
    <rPh sb="140" eb="141">
      <t>ハ</t>
    </rPh>
    <rPh sb="142" eb="143">
      <t>ツ</t>
    </rPh>
    <rPh sb="147" eb="149">
      <t>ジドウ</t>
    </rPh>
    <rPh sb="150" eb="152">
      <t>カイトウ</t>
    </rPh>
    <rPh sb="158" eb="160">
      <t>シュウケイ</t>
    </rPh>
    <rPh sb="162" eb="164">
      <t>セツモン</t>
    </rPh>
    <rPh sb="164" eb="165">
      <t>ヨコ</t>
    </rPh>
    <rPh sb="166" eb="167">
      <t>カイ</t>
    </rPh>
    <rPh sb="185" eb="186">
      <t>ヒョウ</t>
    </rPh>
    <rPh sb="188" eb="190">
      <t>ヒョウジ</t>
    </rPh>
    <rPh sb="212" eb="214">
      <t>カイトウ</t>
    </rPh>
    <rPh sb="233" eb="235">
      <t>シュウケイ</t>
    </rPh>
    <rPh sb="245" eb="247">
      <t>コジン</t>
    </rPh>
    <rPh sb="247" eb="249">
      <t>ジョウホウ</t>
    </rPh>
    <rPh sb="250" eb="251">
      <t>フク</t>
    </rPh>
    <rPh sb="260" eb="263">
      <t>チョウサヒョウ</t>
    </rPh>
    <rPh sb="265" eb="267">
      <t>テイシュツ</t>
    </rPh>
    <rPh sb="267" eb="268">
      <t>ジ</t>
    </rPh>
    <rPh sb="273" eb="275">
      <t>シュウケイ</t>
    </rPh>
    <rPh sb="284" eb="286">
      <t>ジョウホウ</t>
    </rPh>
    <rPh sb="287" eb="289">
      <t>サクジョ</t>
    </rPh>
    <rPh sb="294" eb="296">
      <t>テイシュツ</t>
    </rPh>
    <rPh sb="304" eb="305">
      <t>カナラ</t>
    </rPh>
    <rPh sb="307" eb="309">
      <t>セツモン</t>
    </rPh>
    <rPh sb="310" eb="312">
      <t>カイトウ</t>
    </rPh>
    <rPh sb="315" eb="317">
      <t>スウチ</t>
    </rPh>
    <rPh sb="318" eb="319">
      <t>ハ</t>
    </rPh>
    <rPh sb="320" eb="321">
      <t>ツ</t>
    </rPh>
    <rPh sb="325" eb="327">
      <t>ニュウリョク</t>
    </rPh>
    <rPh sb="329" eb="330">
      <t>ウエ</t>
    </rPh>
    <rPh sb="331" eb="333">
      <t>サクジョ</t>
    </rPh>
    <phoneticPr fontId="10"/>
  </si>
  <si>
    <t>①データ</t>
    <phoneticPr fontId="10"/>
  </si>
  <si>
    <t>●</t>
    <phoneticPr fontId="10"/>
  </si>
  <si>
    <t>資料の内容確認のため、川原経営総合センターから問い合わせがある場合があります。</t>
    <phoneticPr fontId="10"/>
  </si>
  <si>
    <t>2.事業活動計算書 サービス区分別（附属明細書 基準別紙4）</t>
    <phoneticPr fontId="10"/>
  </si>
  <si>
    <t>3.資金収支計算書 サービス区分別（附属明細書 基準別紙3）</t>
    <phoneticPr fontId="10"/>
  </si>
  <si>
    <t>○送付先・お問合せ先　　</t>
    <phoneticPr fontId="10"/>
  </si>
  <si>
    <t>㈱川原経営総合センター 　経営コンサルティング部門</t>
    <phoneticPr fontId="10"/>
  </si>
  <si>
    <t>ＴＥＬ　０３－５４２２－７５４８　ＦＡＸ　０３－５４２２－７９９６</t>
    <phoneticPr fontId="10"/>
  </si>
  <si>
    <t>※</t>
    <phoneticPr fontId="10"/>
  </si>
  <si>
    <t>お問合せ先電話番号が通話中でつながらない場合、誠にお手数ではありますが、 お掛け直し頂けますようお願い申し上げます。</t>
    <phoneticPr fontId="10"/>
  </si>
  <si>
    <r>
      <t>シート「設問解説」にある短時間正規職員がいる場合、</t>
    </r>
    <r>
      <rPr>
        <u/>
        <sz val="11"/>
        <color indexed="8"/>
        <rFont val="ＭＳ Ｐ明朝"/>
        <family val="1"/>
        <charset val="128"/>
      </rPr>
      <t>「正規」（実数）欄に常勤換算職員数を</t>
    </r>
    <r>
      <rPr>
        <sz val="11"/>
        <color theme="1"/>
        <rFont val="ＭＳ Ｐ明朝"/>
        <family val="1"/>
        <charset val="128"/>
      </rPr>
      <t>ご記入ください。</t>
    </r>
    <rPh sb="4" eb="6">
      <t>セツモン</t>
    </rPh>
    <rPh sb="6" eb="8">
      <t>カイセツ</t>
    </rPh>
    <rPh sb="26" eb="28">
      <t>セイキ</t>
    </rPh>
    <phoneticPr fontId="10"/>
  </si>
  <si>
    <t>年齢</t>
    <rPh sb="0" eb="2">
      <t>ネンレイ</t>
    </rPh>
    <phoneticPr fontId="27"/>
  </si>
  <si>
    <t>基準日</t>
    <rPh sb="0" eb="3">
      <t>キジュンビ</t>
    </rPh>
    <phoneticPr fontId="27"/>
  </si>
  <si>
    <t>雇用形態
（正規・非正規）</t>
    <rPh sb="0" eb="2">
      <t>コヨウ</t>
    </rPh>
    <rPh sb="2" eb="4">
      <t>ケイタイ</t>
    </rPh>
    <rPh sb="6" eb="8">
      <t>セイキ</t>
    </rPh>
    <rPh sb="9" eb="12">
      <t>ヒセイキ</t>
    </rPh>
    <phoneticPr fontId="27"/>
  </si>
  <si>
    <t>性別
（男・女）</t>
    <rPh sb="0" eb="2">
      <t>セイベツ</t>
    </rPh>
    <rPh sb="4" eb="5">
      <t>オトコ</t>
    </rPh>
    <rPh sb="6" eb="7">
      <t>オンナ</t>
    </rPh>
    <phoneticPr fontId="27"/>
  </si>
  <si>
    <t>生年月日
（西暦・和暦）</t>
    <rPh sb="0" eb="2">
      <t>セイネン</t>
    </rPh>
    <rPh sb="2" eb="4">
      <t>ガッピ</t>
    </rPh>
    <rPh sb="6" eb="8">
      <t>セイレキ</t>
    </rPh>
    <rPh sb="9" eb="11">
      <t>ワレキ</t>
    </rPh>
    <phoneticPr fontId="27"/>
  </si>
  <si>
    <t>入職日
（西暦・和暦）</t>
    <rPh sb="0" eb="2">
      <t>ニュウショク</t>
    </rPh>
    <rPh sb="2" eb="3">
      <t>ビ</t>
    </rPh>
    <phoneticPr fontId="27"/>
  </si>
  <si>
    <t>退職日
（西暦・和暦）</t>
    <rPh sb="0" eb="3">
      <t>タイショクビ</t>
    </rPh>
    <phoneticPr fontId="27"/>
  </si>
  <si>
    <t>勤続月数
（月）</t>
    <rPh sb="0" eb="2">
      <t>キンゾク</t>
    </rPh>
    <rPh sb="2" eb="4">
      <t>ゲッスウ</t>
    </rPh>
    <rPh sb="6" eb="7">
      <t>ツキ</t>
    </rPh>
    <phoneticPr fontId="27"/>
  </si>
  <si>
    <t>勤続年数
（年）</t>
    <rPh sb="0" eb="2">
      <t>キンゾク</t>
    </rPh>
    <rPh sb="2" eb="4">
      <t>ネンスウ</t>
    </rPh>
    <rPh sb="6" eb="7">
      <t>ネン</t>
    </rPh>
    <phoneticPr fontId="27"/>
  </si>
  <si>
    <t>「集計アシストシート」から自動的に数値が集計されます</t>
    <rPh sb="1" eb="3">
      <t>シュウケイ</t>
    </rPh>
    <rPh sb="13" eb="16">
      <t>ジドウテキ</t>
    </rPh>
    <rPh sb="17" eb="19">
      <t>スウチ</t>
    </rPh>
    <rPh sb="20" eb="22">
      <t>シュウケイ</t>
    </rPh>
    <phoneticPr fontId="10"/>
  </si>
  <si>
    <t>Eメールアドレス：yokohama-tokuyo@kawahara-group.co.jp</t>
    <phoneticPr fontId="10"/>
  </si>
  <si>
    <t>ご提出いただく決算書類</t>
    <rPh sb="1" eb="3">
      <t>テイシュツ</t>
    </rPh>
    <rPh sb="7" eb="9">
      <t>ケッサン</t>
    </rPh>
    <rPh sb="9" eb="11">
      <t>ショルイ</t>
    </rPh>
    <phoneticPr fontId="27"/>
  </si>
  <si>
    <t>●</t>
    <phoneticPr fontId="27"/>
  </si>
  <si>
    <t>※「特別養護老人ホーム」「介護老人福祉施設」を除いた施設名を記載してください。</t>
    <rPh sb="2" eb="4">
      <t>トクベツ</t>
    </rPh>
    <rPh sb="4" eb="6">
      <t>ヨウゴ</t>
    </rPh>
    <rPh sb="6" eb="8">
      <t>ロウジン</t>
    </rPh>
    <rPh sb="13" eb="15">
      <t>カイゴ</t>
    </rPh>
    <rPh sb="15" eb="17">
      <t>ロウジン</t>
    </rPh>
    <rPh sb="17" eb="19">
      <t>フクシ</t>
    </rPh>
    <rPh sb="19" eb="21">
      <t>シセツ</t>
    </rPh>
    <rPh sb="23" eb="24">
      <t>ノゾ</t>
    </rPh>
    <rPh sb="26" eb="28">
      <t>シセツ</t>
    </rPh>
    <rPh sb="28" eb="29">
      <t>メイ</t>
    </rPh>
    <rPh sb="30" eb="32">
      <t>キサイ</t>
    </rPh>
    <phoneticPr fontId="10"/>
  </si>
  <si>
    <t>再入所時栄養連携加算</t>
    <rPh sb="0" eb="3">
      <t>サイニュウショ</t>
    </rPh>
    <rPh sb="3" eb="4">
      <t>ジ</t>
    </rPh>
    <rPh sb="4" eb="6">
      <t>エイヨウ</t>
    </rPh>
    <rPh sb="6" eb="8">
      <t>レンケイ</t>
    </rPh>
    <rPh sb="8" eb="10">
      <t>カサン</t>
    </rPh>
    <phoneticPr fontId="27"/>
  </si>
  <si>
    <t>低栄養リスク改善加算</t>
    <rPh sb="0" eb="3">
      <t>テイエイヨウ</t>
    </rPh>
    <rPh sb="6" eb="8">
      <t>カイゼン</t>
    </rPh>
    <rPh sb="8" eb="10">
      <t>カサン</t>
    </rPh>
    <phoneticPr fontId="27"/>
  </si>
  <si>
    <t>１５・待機者の状況要介護1</t>
    <rPh sb="3" eb="6">
      <t>タイキシャ</t>
    </rPh>
    <rPh sb="7" eb="9">
      <t>ジョウキョウ</t>
    </rPh>
    <rPh sb="9" eb="12">
      <t>ヨウカイゴ</t>
    </rPh>
    <phoneticPr fontId="27"/>
  </si>
  <si>
    <t>退職　  介護_正規_1年未満_20歳未満</t>
    <rPh sb="0" eb="2">
      <t>タイショク</t>
    </rPh>
    <rPh sb="12" eb="13">
      <t>ネン</t>
    </rPh>
    <rPh sb="13" eb="15">
      <t>ミマン</t>
    </rPh>
    <rPh sb="18" eb="21">
      <t>サイミマン</t>
    </rPh>
    <phoneticPr fontId="10"/>
  </si>
  <si>
    <t>　　　　　介護_正規_1年未満_20代</t>
    <rPh sb="18" eb="19">
      <t>ダイ</t>
    </rPh>
    <phoneticPr fontId="10"/>
  </si>
  <si>
    <t>　　　　　介護_正規_1年未満_30代</t>
    <rPh sb="18" eb="19">
      <t>ダイ</t>
    </rPh>
    <phoneticPr fontId="10"/>
  </si>
  <si>
    <t>　　　　　介護_正規_1年未満_40代</t>
    <rPh sb="18" eb="19">
      <t>ダイ</t>
    </rPh>
    <phoneticPr fontId="10"/>
  </si>
  <si>
    <t>　　　　　介護_正規_1年未満_50代</t>
    <rPh sb="18" eb="19">
      <t>ダイ</t>
    </rPh>
    <phoneticPr fontId="10"/>
  </si>
  <si>
    <t>　　　　　介護_正規_1年未満_60代</t>
    <rPh sb="18" eb="19">
      <t>ダイ</t>
    </rPh>
    <phoneticPr fontId="10"/>
  </si>
  <si>
    <t xml:space="preserve"> 　介護_正規_1年未満_合計</t>
    <rPh sb="13" eb="15">
      <t>ゴウケイ</t>
    </rPh>
    <phoneticPr fontId="10"/>
  </si>
  <si>
    <t>　　　　　介護_正規_2年未満_20歳未満</t>
    <rPh sb="5" eb="7">
      <t>カイゴ</t>
    </rPh>
    <rPh sb="18" eb="21">
      <t>サイミマン</t>
    </rPh>
    <phoneticPr fontId="10"/>
  </si>
  <si>
    <t>　　　　　介護_正規_2年未満_20代</t>
    <rPh sb="18" eb="19">
      <t>ダイ</t>
    </rPh>
    <phoneticPr fontId="10"/>
  </si>
  <si>
    <t>　　　　　介護_正規_2年未満_30代</t>
    <rPh sb="18" eb="19">
      <t>ダイ</t>
    </rPh>
    <phoneticPr fontId="10"/>
  </si>
  <si>
    <t>　　　　　介護_正規_2年未満_40代</t>
    <rPh sb="18" eb="19">
      <t>ダイ</t>
    </rPh>
    <phoneticPr fontId="10"/>
  </si>
  <si>
    <t>　　　　　介護_正規_2年未満_50代</t>
    <rPh sb="18" eb="19">
      <t>ダイ</t>
    </rPh>
    <phoneticPr fontId="10"/>
  </si>
  <si>
    <t>　　　　　介護_正規_2年未満_60代</t>
    <rPh sb="18" eb="19">
      <t>ダイ</t>
    </rPh>
    <phoneticPr fontId="10"/>
  </si>
  <si>
    <t xml:space="preserve"> 　介護_正規_2年未満_合計</t>
    <rPh sb="13" eb="15">
      <t>ゴウケイ</t>
    </rPh>
    <phoneticPr fontId="10"/>
  </si>
  <si>
    <t>　　　　　介護_正規_3年未満_20歳未満</t>
    <rPh sb="5" eb="7">
      <t>カイゴ</t>
    </rPh>
    <rPh sb="18" eb="21">
      <t>サイミマン</t>
    </rPh>
    <phoneticPr fontId="10"/>
  </si>
  <si>
    <t>　　　　　介護_正規_3年未満_20代</t>
    <rPh sb="18" eb="19">
      <t>ダイ</t>
    </rPh>
    <phoneticPr fontId="10"/>
  </si>
  <si>
    <t>　　　　　介護_正規_3年未満_30代</t>
    <rPh sb="18" eb="19">
      <t>ダイ</t>
    </rPh>
    <phoneticPr fontId="10"/>
  </si>
  <si>
    <t>　　　　　介護_正規_3年未満_40代</t>
    <rPh sb="18" eb="19">
      <t>ダイ</t>
    </rPh>
    <phoneticPr fontId="10"/>
  </si>
  <si>
    <t>　　　　　介護_正規_3年未満_50代</t>
    <rPh sb="18" eb="19">
      <t>ダイ</t>
    </rPh>
    <phoneticPr fontId="10"/>
  </si>
  <si>
    <t>　　　　　介護_正規_3年未満_60代</t>
    <rPh sb="18" eb="19">
      <t>ダイ</t>
    </rPh>
    <phoneticPr fontId="10"/>
  </si>
  <si>
    <t xml:space="preserve"> 　介護_正規_3年未満_合計</t>
    <rPh sb="13" eb="15">
      <t>ゴウケイ</t>
    </rPh>
    <phoneticPr fontId="10"/>
  </si>
  <si>
    <t>　　　　　介護_正規_4年未満_20歳未満</t>
    <rPh sb="5" eb="7">
      <t>カイゴ</t>
    </rPh>
    <rPh sb="18" eb="21">
      <t>サイミマン</t>
    </rPh>
    <phoneticPr fontId="10"/>
  </si>
  <si>
    <t>　　　　　介護_正規_4年未満_20代</t>
    <rPh sb="18" eb="19">
      <t>ダイ</t>
    </rPh>
    <phoneticPr fontId="10"/>
  </si>
  <si>
    <t>　　　　　介護_正規_4年未満_30代</t>
    <rPh sb="18" eb="19">
      <t>ダイ</t>
    </rPh>
    <phoneticPr fontId="10"/>
  </si>
  <si>
    <t>　　　　　介護_正規_4年未満_40代</t>
    <rPh sb="18" eb="19">
      <t>ダイ</t>
    </rPh>
    <phoneticPr fontId="10"/>
  </si>
  <si>
    <t>　　　　　介護_正規_4年未満_50代</t>
    <rPh sb="18" eb="19">
      <t>ダイ</t>
    </rPh>
    <phoneticPr fontId="10"/>
  </si>
  <si>
    <t>　　　　　介護_正規_4年未満_60代</t>
    <rPh sb="18" eb="19">
      <t>ダイ</t>
    </rPh>
    <phoneticPr fontId="10"/>
  </si>
  <si>
    <t xml:space="preserve"> 　介護_正規_4年未満_合計</t>
    <rPh sb="13" eb="15">
      <t>ゴウケイ</t>
    </rPh>
    <phoneticPr fontId="10"/>
  </si>
  <si>
    <t>　　　　　介護_正規_5年未満_20歳未満</t>
    <rPh sb="5" eb="7">
      <t>カイゴ</t>
    </rPh>
    <rPh sb="18" eb="21">
      <t>サイミマン</t>
    </rPh>
    <phoneticPr fontId="10"/>
  </si>
  <si>
    <t>　　　　　介護_正規_5年未満_20代</t>
    <rPh sb="18" eb="19">
      <t>ダイ</t>
    </rPh>
    <phoneticPr fontId="10"/>
  </si>
  <si>
    <t>　　　　　介護_正規_5年未満_30代</t>
    <rPh sb="18" eb="19">
      <t>ダイ</t>
    </rPh>
    <phoneticPr fontId="10"/>
  </si>
  <si>
    <t>　　　　　介護_正規_5年未満_40代</t>
    <rPh sb="18" eb="19">
      <t>ダイ</t>
    </rPh>
    <phoneticPr fontId="10"/>
  </si>
  <si>
    <t>　　　　　介護_正規_5年未満_50代</t>
    <rPh sb="18" eb="19">
      <t>ダイ</t>
    </rPh>
    <phoneticPr fontId="10"/>
  </si>
  <si>
    <t>　　　　　介護_正規_5年未満_60代</t>
    <rPh sb="18" eb="19">
      <t>ダイ</t>
    </rPh>
    <phoneticPr fontId="10"/>
  </si>
  <si>
    <t xml:space="preserve"> 　介護_正規_5年未満_合計</t>
    <rPh sb="13" eb="15">
      <t>ゴウケイ</t>
    </rPh>
    <phoneticPr fontId="10"/>
  </si>
  <si>
    <t>　　　　　介護_正規_5～9年未満_20歳未満</t>
    <rPh sb="5" eb="7">
      <t>カイゴ</t>
    </rPh>
    <rPh sb="20" eb="23">
      <t>サイミマン</t>
    </rPh>
    <phoneticPr fontId="10"/>
  </si>
  <si>
    <t>　　　　　介護_正規_5～9年未満_20代</t>
    <rPh sb="20" eb="21">
      <t>ダイ</t>
    </rPh>
    <phoneticPr fontId="10"/>
  </si>
  <si>
    <t>　　　　　介護_正規_5～9年未満_30代</t>
    <rPh sb="20" eb="21">
      <t>ダイ</t>
    </rPh>
    <phoneticPr fontId="10"/>
  </si>
  <si>
    <t>　　　　　介護_正規_5～9年未満_40代</t>
    <rPh sb="20" eb="21">
      <t>ダイ</t>
    </rPh>
    <phoneticPr fontId="10"/>
  </si>
  <si>
    <t>　　　　　介護_正規_5～9年未満_50代</t>
    <rPh sb="20" eb="21">
      <t>ダイ</t>
    </rPh>
    <phoneticPr fontId="10"/>
  </si>
  <si>
    <t>　　　　　介護_正規_5～9年未満_60代</t>
    <rPh sb="20" eb="21">
      <t>ダイ</t>
    </rPh>
    <phoneticPr fontId="10"/>
  </si>
  <si>
    <t xml:space="preserve"> 　介護_正規_5～9年未満_合計</t>
    <rPh sb="15" eb="17">
      <t>ゴウケイ</t>
    </rPh>
    <phoneticPr fontId="10"/>
  </si>
  <si>
    <t>　　　　　介護_正規_10年以上_20歳未満</t>
    <rPh sb="5" eb="7">
      <t>カイゴ</t>
    </rPh>
    <rPh sb="19" eb="22">
      <t>サイミマン</t>
    </rPh>
    <phoneticPr fontId="10"/>
  </si>
  <si>
    <t>　　　　　介護_正規_10年以上_20代</t>
    <rPh sb="19" eb="20">
      <t>ダイ</t>
    </rPh>
    <phoneticPr fontId="10"/>
  </si>
  <si>
    <t>　　　　　介護_正規_10年以上_30代</t>
    <rPh sb="19" eb="20">
      <t>ダイ</t>
    </rPh>
    <phoneticPr fontId="10"/>
  </si>
  <si>
    <t>　　　　　介護_正規_10年以上_40代</t>
    <rPh sb="19" eb="20">
      <t>ダイ</t>
    </rPh>
    <phoneticPr fontId="10"/>
  </si>
  <si>
    <t>　　　　　介護_正規_10年以上_50代</t>
    <rPh sb="19" eb="20">
      <t>ダイ</t>
    </rPh>
    <phoneticPr fontId="10"/>
  </si>
  <si>
    <t>　　　　　介護_正規_10年以上_60代</t>
    <rPh sb="19" eb="20">
      <t>ダイ</t>
    </rPh>
    <phoneticPr fontId="10"/>
  </si>
  <si>
    <t xml:space="preserve"> 　介護_正規_10年以上_合計</t>
    <rPh sb="14" eb="16">
      <t>ゴウケイ</t>
    </rPh>
    <phoneticPr fontId="10"/>
  </si>
  <si>
    <t>　　　　　介護_非正規_1年未満_20歳未満</t>
    <rPh sb="5" eb="7">
      <t>カイゴ</t>
    </rPh>
    <rPh sb="13" eb="14">
      <t>ネン</t>
    </rPh>
    <rPh sb="14" eb="16">
      <t>ミマン</t>
    </rPh>
    <rPh sb="19" eb="22">
      <t>サイミマン</t>
    </rPh>
    <phoneticPr fontId="10"/>
  </si>
  <si>
    <t>　　　　　介護_非正規_1年未満_20代</t>
    <rPh sb="19" eb="20">
      <t>ダイ</t>
    </rPh>
    <phoneticPr fontId="10"/>
  </si>
  <si>
    <t>　　　　　介護_非正規_1年未満_30代</t>
    <rPh sb="19" eb="20">
      <t>ダイ</t>
    </rPh>
    <phoneticPr fontId="10"/>
  </si>
  <si>
    <t>　　　　　介護_非正規_1年未満_40代</t>
    <rPh sb="19" eb="20">
      <t>ダイ</t>
    </rPh>
    <phoneticPr fontId="10"/>
  </si>
  <si>
    <t>　　　　　介護_非正規_1年未満_50代</t>
    <rPh sb="19" eb="20">
      <t>ダイ</t>
    </rPh>
    <phoneticPr fontId="10"/>
  </si>
  <si>
    <t>　　　　　介護_非正規_1年未満_60代</t>
    <rPh sb="19" eb="20">
      <t>ダイ</t>
    </rPh>
    <phoneticPr fontId="10"/>
  </si>
  <si>
    <t xml:space="preserve"> 　介護_非正規_1年未満_合計</t>
    <rPh sb="14" eb="16">
      <t>ゴウケイ</t>
    </rPh>
    <phoneticPr fontId="10"/>
  </si>
  <si>
    <t>　　　　　介護_非正規_2年未満_20歳未満</t>
    <rPh sb="5" eb="7">
      <t>カイゴ</t>
    </rPh>
    <rPh sb="19" eb="22">
      <t>サイミマン</t>
    </rPh>
    <phoneticPr fontId="10"/>
  </si>
  <si>
    <t>　　　　　介護_非正規_2年未満_20代</t>
    <rPh sb="19" eb="20">
      <t>ダイ</t>
    </rPh>
    <phoneticPr fontId="10"/>
  </si>
  <si>
    <t>　　　　　介護_非正規_2年未満_30代</t>
    <rPh sb="19" eb="20">
      <t>ダイ</t>
    </rPh>
    <phoneticPr fontId="10"/>
  </si>
  <si>
    <t>　　　　　介護_非正規_2年未満_40代</t>
    <rPh sb="19" eb="20">
      <t>ダイ</t>
    </rPh>
    <phoneticPr fontId="10"/>
  </si>
  <si>
    <t>　　　　　介護_非正規_2年未満_50代</t>
    <rPh sb="19" eb="20">
      <t>ダイ</t>
    </rPh>
    <phoneticPr fontId="10"/>
  </si>
  <si>
    <t>　　　　　介護_非正規_2年未満_60代</t>
    <rPh sb="19" eb="20">
      <t>ダイ</t>
    </rPh>
    <phoneticPr fontId="10"/>
  </si>
  <si>
    <t xml:space="preserve"> 　介護_非正規_2年未満_合計</t>
    <rPh sb="14" eb="16">
      <t>ゴウケイ</t>
    </rPh>
    <phoneticPr fontId="10"/>
  </si>
  <si>
    <t>　　　　　介護_非正規_3年未満_20歳未満</t>
    <rPh sb="5" eb="7">
      <t>カイゴ</t>
    </rPh>
    <rPh sb="19" eb="22">
      <t>サイミマン</t>
    </rPh>
    <phoneticPr fontId="10"/>
  </si>
  <si>
    <t>　　　　　介護_非正規_3年未満_20代</t>
    <rPh sb="19" eb="20">
      <t>ダイ</t>
    </rPh>
    <phoneticPr fontId="10"/>
  </si>
  <si>
    <t>　　　　　介護_非正規_3年未満_30代</t>
    <rPh sb="19" eb="20">
      <t>ダイ</t>
    </rPh>
    <phoneticPr fontId="10"/>
  </si>
  <si>
    <t>　　　　　介護_非正規_3年未満_40代</t>
    <rPh sb="19" eb="20">
      <t>ダイ</t>
    </rPh>
    <phoneticPr fontId="10"/>
  </si>
  <si>
    <t>　　　　　介護_非正規_3年未満_50代</t>
    <rPh sb="19" eb="20">
      <t>ダイ</t>
    </rPh>
    <phoneticPr fontId="10"/>
  </si>
  <si>
    <t>　　　　　介護_非正規_3年未満_60代</t>
    <rPh sb="19" eb="20">
      <t>ダイ</t>
    </rPh>
    <phoneticPr fontId="10"/>
  </si>
  <si>
    <t xml:space="preserve"> 　介護_非正規_3年未満_合計</t>
    <rPh sb="14" eb="16">
      <t>ゴウケイ</t>
    </rPh>
    <phoneticPr fontId="10"/>
  </si>
  <si>
    <t>　　　　　介護_非正規_4年未満_20歳未満</t>
    <rPh sb="5" eb="7">
      <t>カイゴ</t>
    </rPh>
    <rPh sb="19" eb="22">
      <t>サイミマン</t>
    </rPh>
    <phoneticPr fontId="10"/>
  </si>
  <si>
    <t>　　　　　介護_非正規_4年未満_20代</t>
    <rPh sb="19" eb="20">
      <t>ダイ</t>
    </rPh>
    <phoneticPr fontId="10"/>
  </si>
  <si>
    <t>　　　　　介護_非正規_4年未満_30代</t>
    <rPh sb="19" eb="20">
      <t>ダイ</t>
    </rPh>
    <phoneticPr fontId="10"/>
  </si>
  <si>
    <t>　　　　　介護_非正規_4年未満_40代</t>
    <rPh sb="19" eb="20">
      <t>ダイ</t>
    </rPh>
    <phoneticPr fontId="10"/>
  </si>
  <si>
    <t>　　　　　介護_非正規_4年未満_50代</t>
    <rPh sb="19" eb="20">
      <t>ダイ</t>
    </rPh>
    <phoneticPr fontId="10"/>
  </si>
  <si>
    <t>　　　　　介護_非正規_4年未満_60代</t>
    <rPh sb="19" eb="20">
      <t>ダイ</t>
    </rPh>
    <phoneticPr fontId="10"/>
  </si>
  <si>
    <t xml:space="preserve"> 　介護_非正規_4年未満_合計</t>
    <rPh sb="14" eb="16">
      <t>ゴウケイ</t>
    </rPh>
    <phoneticPr fontId="10"/>
  </si>
  <si>
    <t>　　　　　介護_非正規_5年未満_20歳未満</t>
    <rPh sb="5" eb="7">
      <t>カイゴ</t>
    </rPh>
    <rPh sb="19" eb="22">
      <t>サイミマン</t>
    </rPh>
    <phoneticPr fontId="10"/>
  </si>
  <si>
    <t>　　　　　介護_非正規_5年未満_20代</t>
    <rPh sb="19" eb="20">
      <t>ダイ</t>
    </rPh>
    <phoneticPr fontId="10"/>
  </si>
  <si>
    <t>　　　　　介護_非正規_5年未満_30代</t>
    <rPh sb="19" eb="20">
      <t>ダイ</t>
    </rPh>
    <phoneticPr fontId="10"/>
  </si>
  <si>
    <t>　　　　　介護_非正規_5年未満_40代</t>
    <rPh sb="19" eb="20">
      <t>ダイ</t>
    </rPh>
    <phoneticPr fontId="10"/>
  </si>
  <si>
    <t>　　　　　介護_非正規_5年未満_50代</t>
    <rPh sb="19" eb="20">
      <t>ダイ</t>
    </rPh>
    <phoneticPr fontId="10"/>
  </si>
  <si>
    <t>　　　　　介護_非正規_5年未満_60代</t>
    <rPh sb="19" eb="20">
      <t>ダイ</t>
    </rPh>
    <phoneticPr fontId="10"/>
  </si>
  <si>
    <t xml:space="preserve"> 　介護_非正規_5年未満_合計</t>
    <rPh sb="14" eb="16">
      <t>ゴウケイ</t>
    </rPh>
    <phoneticPr fontId="10"/>
  </si>
  <si>
    <t>　　　　　介護_非正規_5～9年未満_20歳未満</t>
    <rPh sb="5" eb="7">
      <t>カイゴ</t>
    </rPh>
    <rPh sb="21" eb="24">
      <t>サイミマン</t>
    </rPh>
    <phoneticPr fontId="10"/>
  </si>
  <si>
    <t>　　　　　介護_非正規_5～9年未満_20代</t>
    <rPh sb="21" eb="22">
      <t>ダイ</t>
    </rPh>
    <phoneticPr fontId="10"/>
  </si>
  <si>
    <t>　　　　　介護_非正規_5～9年未満_30代</t>
    <rPh sb="21" eb="22">
      <t>ダイ</t>
    </rPh>
    <phoneticPr fontId="10"/>
  </si>
  <si>
    <t>　　　　　介護_非正規_5～9年未満_40代</t>
    <rPh sb="21" eb="22">
      <t>ダイ</t>
    </rPh>
    <phoneticPr fontId="10"/>
  </si>
  <si>
    <t>　　　　　介護_非正規_5～9年未満_50代</t>
    <rPh sb="21" eb="22">
      <t>ダイ</t>
    </rPh>
    <phoneticPr fontId="10"/>
  </si>
  <si>
    <t>　　　　　介護_非正規_5～9年未満_60代</t>
    <rPh sb="21" eb="22">
      <t>ダイ</t>
    </rPh>
    <phoneticPr fontId="10"/>
  </si>
  <si>
    <t xml:space="preserve"> 　介護_非正規_5～9年未満_合計</t>
    <rPh sb="16" eb="18">
      <t>ゴウケイ</t>
    </rPh>
    <phoneticPr fontId="10"/>
  </si>
  <si>
    <t>　　　　介護_非正規_10年以上_20歳未満</t>
    <rPh sb="4" eb="6">
      <t>カイゴ</t>
    </rPh>
    <rPh sb="19" eb="22">
      <t>サイミマン</t>
    </rPh>
    <phoneticPr fontId="10"/>
  </si>
  <si>
    <t>　　　　　介護_非正規_10年以上_20代</t>
    <rPh sb="20" eb="21">
      <t>ダイ</t>
    </rPh>
    <phoneticPr fontId="10"/>
  </si>
  <si>
    <t>　　　　　介護_非正規_10年以上_30代</t>
    <rPh sb="20" eb="21">
      <t>ダイ</t>
    </rPh>
    <phoneticPr fontId="10"/>
  </si>
  <si>
    <t>　　　　　介護_非正規_10年以上_40代</t>
    <rPh sb="20" eb="21">
      <t>ダイ</t>
    </rPh>
    <phoneticPr fontId="10"/>
  </si>
  <si>
    <t>　　　　　介護_非正規_10年以上_50代</t>
    <rPh sb="20" eb="21">
      <t>ダイ</t>
    </rPh>
    <phoneticPr fontId="10"/>
  </si>
  <si>
    <t>　　　　　介護_非正規_10年以上_60代</t>
    <rPh sb="20" eb="21">
      <t>ダイ</t>
    </rPh>
    <phoneticPr fontId="10"/>
  </si>
  <si>
    <t xml:space="preserve"> 　介護_非正規_10年以上_合計</t>
    <rPh sb="15" eb="17">
      <t>ゴウケイ</t>
    </rPh>
    <phoneticPr fontId="10"/>
  </si>
  <si>
    <t>設問無</t>
    <rPh sb="0" eb="2">
      <t>セツモン</t>
    </rPh>
    <rPh sb="2" eb="3">
      <t>ナシ</t>
    </rPh>
    <phoneticPr fontId="27"/>
  </si>
  <si>
    <t>追加</t>
    <rPh sb="0" eb="2">
      <t>ツイカ</t>
    </rPh>
    <phoneticPr fontId="27"/>
  </si>
  <si>
    <t>　研修研究費</t>
    <rPh sb="1" eb="3">
      <t>ケンシュウ</t>
    </rPh>
    <rPh sb="3" eb="6">
      <t>ケンキュウヒ</t>
    </rPh>
    <phoneticPr fontId="27"/>
  </si>
  <si>
    <t>　修繕費</t>
    <rPh sb="1" eb="4">
      <t>シュウゼンヒ</t>
    </rPh>
    <phoneticPr fontId="27"/>
  </si>
  <si>
    <t>１３・退所者の理由　合計人数</t>
    <rPh sb="3" eb="5">
      <t>タイショ</t>
    </rPh>
    <rPh sb="5" eb="6">
      <t>シャ</t>
    </rPh>
    <rPh sb="7" eb="9">
      <t>リユウ</t>
    </rPh>
    <rPh sb="10" eb="12">
      <t>ゴウケイ</t>
    </rPh>
    <rPh sb="12" eb="14">
      <t>ニンズウ</t>
    </rPh>
    <phoneticPr fontId="27"/>
  </si>
  <si>
    <t>設問無</t>
    <rPh sb="0" eb="2">
      <t>セツモン</t>
    </rPh>
    <rPh sb="2" eb="3">
      <t>ナシ</t>
    </rPh>
    <phoneticPr fontId="27"/>
  </si>
  <si>
    <t>１９．H30_処遇改善加算</t>
    <rPh sb="7" eb="9">
      <t>ショグウ</t>
    </rPh>
    <rPh sb="9" eb="11">
      <t>カイゼン</t>
    </rPh>
    <rPh sb="11" eb="13">
      <t>カサン</t>
    </rPh>
    <phoneticPr fontId="10"/>
  </si>
  <si>
    <t xml:space="preserve">H30_日常生活継続支援                                          </t>
    <rPh sb="4" eb="6">
      <t>ニチジョウ</t>
    </rPh>
    <phoneticPr fontId="10"/>
  </si>
  <si>
    <t>H30_サービス提供体制強化</t>
  </si>
  <si>
    <t>H30_看護体制Ⅰ</t>
  </si>
  <si>
    <t>H30_看護体制Ⅱ</t>
  </si>
  <si>
    <t>H30_夜勤職員配置Ⅰ</t>
  </si>
  <si>
    <t>H30_夜勤職員配置Ⅱ</t>
  </si>
  <si>
    <t xml:space="preserve">H30_精神科医療養指導                                           </t>
    <rPh sb="8" eb="10">
      <t>リョウヨウ</t>
    </rPh>
    <phoneticPr fontId="10"/>
  </si>
  <si>
    <t xml:space="preserve">H30_認知症専門ケア   </t>
  </si>
  <si>
    <t>H30_認知症行動・心理症状緊急対応加算</t>
    <rPh sb="4" eb="7">
      <t>ニンチショウ</t>
    </rPh>
    <rPh sb="7" eb="9">
      <t>コウドウ</t>
    </rPh>
    <rPh sb="10" eb="12">
      <t>シンリ</t>
    </rPh>
    <rPh sb="12" eb="14">
      <t>ショウジョウ</t>
    </rPh>
    <rPh sb="14" eb="16">
      <t>キンキュウ</t>
    </rPh>
    <rPh sb="16" eb="18">
      <t>タイオウ</t>
    </rPh>
    <rPh sb="18" eb="20">
      <t>カサン</t>
    </rPh>
    <phoneticPr fontId="10"/>
  </si>
  <si>
    <t xml:space="preserve">H30_個別機能訓練加算                                          </t>
  </si>
  <si>
    <t xml:space="preserve">H30_栄養マネジメント                                          </t>
  </si>
  <si>
    <t xml:space="preserve">H30_療養食_有無                                            </t>
  </si>
  <si>
    <t xml:space="preserve">H30_看取り介護加算_有無 </t>
    <rPh sb="4" eb="6">
      <t>ミト</t>
    </rPh>
    <rPh sb="7" eb="9">
      <t>カイゴ</t>
    </rPh>
    <rPh sb="9" eb="11">
      <t>カサン</t>
    </rPh>
    <phoneticPr fontId="10"/>
  </si>
  <si>
    <t>H30_準ユニットケア加算</t>
    <rPh sb="4" eb="5">
      <t>ジュン</t>
    </rPh>
    <rPh sb="11" eb="13">
      <t>カサン</t>
    </rPh>
    <phoneticPr fontId="10"/>
  </si>
  <si>
    <t>H30_常勤医師配置加算</t>
    <rPh sb="4" eb="6">
      <t>ジョウキン</t>
    </rPh>
    <rPh sb="6" eb="8">
      <t>イシ</t>
    </rPh>
    <rPh sb="8" eb="10">
      <t>ハイチ</t>
    </rPh>
    <rPh sb="10" eb="12">
      <t>カサン</t>
    </rPh>
    <phoneticPr fontId="10"/>
  </si>
  <si>
    <t>H30_障害者生活支援体制加算</t>
    <rPh sb="4" eb="7">
      <t>ショウガイシャ</t>
    </rPh>
    <rPh sb="7" eb="9">
      <t>セイカツ</t>
    </rPh>
    <rPh sb="9" eb="11">
      <t>シエン</t>
    </rPh>
    <rPh sb="11" eb="13">
      <t>タイセイ</t>
    </rPh>
    <rPh sb="13" eb="15">
      <t>カサン</t>
    </rPh>
    <phoneticPr fontId="10"/>
  </si>
  <si>
    <t>H30_外泊時費用</t>
    <rPh sb="4" eb="6">
      <t>ガイハク</t>
    </rPh>
    <rPh sb="6" eb="7">
      <t>ジ</t>
    </rPh>
    <rPh sb="7" eb="9">
      <t>ヒヨウ</t>
    </rPh>
    <phoneticPr fontId="10"/>
  </si>
  <si>
    <t>H30_初期加算</t>
    <rPh sb="4" eb="6">
      <t>ショキ</t>
    </rPh>
    <rPh sb="6" eb="8">
      <t>カサン</t>
    </rPh>
    <phoneticPr fontId="10"/>
  </si>
  <si>
    <t>H30_退所前訪問相談援助加算</t>
    <rPh sb="4" eb="6">
      <t>タイショ</t>
    </rPh>
    <rPh sb="6" eb="7">
      <t>マエ</t>
    </rPh>
    <rPh sb="7" eb="9">
      <t>ホウモン</t>
    </rPh>
    <rPh sb="9" eb="11">
      <t>ソウダン</t>
    </rPh>
    <rPh sb="11" eb="13">
      <t>エンジョ</t>
    </rPh>
    <rPh sb="13" eb="15">
      <t>カサン</t>
    </rPh>
    <phoneticPr fontId="10"/>
  </si>
  <si>
    <t>H30_退所後訪問相談援助加算</t>
    <rPh sb="4" eb="6">
      <t>タイショ</t>
    </rPh>
    <rPh sb="6" eb="7">
      <t>ゴ</t>
    </rPh>
    <rPh sb="7" eb="9">
      <t>ホウモン</t>
    </rPh>
    <rPh sb="9" eb="11">
      <t>ソウダン</t>
    </rPh>
    <rPh sb="11" eb="13">
      <t>エンジョ</t>
    </rPh>
    <rPh sb="13" eb="15">
      <t>カサン</t>
    </rPh>
    <phoneticPr fontId="10"/>
  </si>
  <si>
    <t>H30_退所時相談援助加算</t>
    <rPh sb="4" eb="6">
      <t>タイショ</t>
    </rPh>
    <rPh sb="6" eb="7">
      <t>ジ</t>
    </rPh>
    <rPh sb="7" eb="9">
      <t>ソウダン</t>
    </rPh>
    <rPh sb="9" eb="11">
      <t>エンジョ</t>
    </rPh>
    <rPh sb="11" eb="13">
      <t>カサン</t>
    </rPh>
    <phoneticPr fontId="10"/>
  </si>
  <si>
    <t>H30_退所前連携加算</t>
    <rPh sb="4" eb="6">
      <t>タイショ</t>
    </rPh>
    <rPh sb="6" eb="7">
      <t>マエ</t>
    </rPh>
    <rPh sb="7" eb="9">
      <t>レンケイ</t>
    </rPh>
    <rPh sb="9" eb="11">
      <t>カサン</t>
    </rPh>
    <phoneticPr fontId="10"/>
  </si>
  <si>
    <t>H30_在宅復帰支援機能加算</t>
    <rPh sb="4" eb="6">
      <t>ザイタク</t>
    </rPh>
    <rPh sb="6" eb="8">
      <t>フッキ</t>
    </rPh>
    <rPh sb="8" eb="10">
      <t>シエン</t>
    </rPh>
    <rPh sb="10" eb="12">
      <t>キノウ</t>
    </rPh>
    <rPh sb="12" eb="14">
      <t>カサン</t>
    </rPh>
    <phoneticPr fontId="10"/>
  </si>
  <si>
    <t>H30_在宅・入所相互利用加算</t>
    <rPh sb="4" eb="6">
      <t>ザイタク</t>
    </rPh>
    <rPh sb="7" eb="9">
      <t>ニュウショ</t>
    </rPh>
    <rPh sb="9" eb="11">
      <t>ソウゴ</t>
    </rPh>
    <rPh sb="11" eb="13">
      <t>リヨウ</t>
    </rPh>
    <rPh sb="13" eb="15">
      <t>カサン</t>
    </rPh>
    <phoneticPr fontId="10"/>
  </si>
  <si>
    <t>H30_若年性認知症入所者受入加算</t>
    <rPh sb="4" eb="7">
      <t>ジャクネンセイ</t>
    </rPh>
    <rPh sb="7" eb="10">
      <t>ニンチショウ</t>
    </rPh>
    <rPh sb="10" eb="13">
      <t>ニュウショシャ</t>
    </rPh>
    <rPh sb="13" eb="15">
      <t>ウケイレ</t>
    </rPh>
    <rPh sb="15" eb="17">
      <t>カサン</t>
    </rPh>
    <phoneticPr fontId="10"/>
  </si>
  <si>
    <t>H30_夜勤職員配置Ⅲ</t>
    <phoneticPr fontId="27"/>
  </si>
  <si>
    <t>H30_夜勤職員配置Ⅳ</t>
    <phoneticPr fontId="27"/>
  </si>
  <si>
    <t>H30_排せつ支援加算</t>
    <rPh sb="4" eb="5">
      <t>ハイ</t>
    </rPh>
    <rPh sb="7" eb="9">
      <t>シエン</t>
    </rPh>
    <rPh sb="9" eb="11">
      <t>カサン</t>
    </rPh>
    <phoneticPr fontId="10"/>
  </si>
  <si>
    <t>H30_褥瘡マネジメント加算</t>
    <rPh sb="4" eb="6">
      <t>ジョクソウ</t>
    </rPh>
    <rPh sb="12" eb="14">
      <t>カサン</t>
    </rPh>
    <phoneticPr fontId="27"/>
  </si>
  <si>
    <t>H30_生活機能向上連携加算</t>
    <rPh sb="4" eb="6">
      <t>セイカツ</t>
    </rPh>
    <rPh sb="6" eb="8">
      <t>キノウ</t>
    </rPh>
    <rPh sb="8" eb="10">
      <t>コウジョウ</t>
    </rPh>
    <rPh sb="10" eb="12">
      <t>レンケイ</t>
    </rPh>
    <rPh sb="12" eb="14">
      <t>カサン</t>
    </rPh>
    <phoneticPr fontId="27"/>
  </si>
  <si>
    <t xml:space="preserve">H30_経口移行加算                                           </t>
    <rPh sb="8" eb="10">
      <t>カサン</t>
    </rPh>
    <phoneticPr fontId="27"/>
  </si>
  <si>
    <t xml:space="preserve">H30_経口維持加算   </t>
    <phoneticPr fontId="27"/>
  </si>
  <si>
    <t xml:space="preserve">H30_口腔衛生管理体制_有無                                       </t>
    <rPh sb="6" eb="8">
      <t>エイセイ</t>
    </rPh>
    <rPh sb="8" eb="10">
      <t>カンリ</t>
    </rPh>
    <rPh sb="10" eb="12">
      <t>タイセイ</t>
    </rPh>
    <phoneticPr fontId="10"/>
  </si>
  <si>
    <t xml:space="preserve">H30_口腔衛生管理_有無                                       </t>
    <rPh sb="6" eb="8">
      <t>エイセイ</t>
    </rPh>
    <phoneticPr fontId="27"/>
  </si>
  <si>
    <t>H30_配置医師緊急時対応加算</t>
    <rPh sb="4" eb="6">
      <t>ハイチ</t>
    </rPh>
    <rPh sb="6" eb="8">
      <t>イシ</t>
    </rPh>
    <rPh sb="8" eb="11">
      <t>キンキュウジ</t>
    </rPh>
    <rPh sb="11" eb="13">
      <t>タイオウ</t>
    </rPh>
    <rPh sb="13" eb="15">
      <t>カサン</t>
    </rPh>
    <phoneticPr fontId="27"/>
  </si>
  <si>
    <t>H30_在宅サービスを利用した時の費用</t>
    <rPh sb="4" eb="6">
      <t>ザイタク</t>
    </rPh>
    <rPh sb="11" eb="13">
      <t>リヨウ</t>
    </rPh>
    <rPh sb="15" eb="16">
      <t>トキ</t>
    </rPh>
    <rPh sb="17" eb="19">
      <t>ヒヨウ</t>
    </rPh>
    <phoneticPr fontId="27"/>
  </si>
  <si>
    <t>H30_低栄養リスク改善加算</t>
    <rPh sb="4" eb="7">
      <t>テイエイヨウ</t>
    </rPh>
    <rPh sb="10" eb="12">
      <t>カイゼン</t>
    </rPh>
    <rPh sb="12" eb="14">
      <t>カサン</t>
    </rPh>
    <phoneticPr fontId="27"/>
  </si>
  <si>
    <t>H30_再入所時栄養連携加算</t>
    <rPh sb="4" eb="7">
      <t>サイニュウショ</t>
    </rPh>
    <rPh sb="7" eb="8">
      <t>ジ</t>
    </rPh>
    <rPh sb="8" eb="10">
      <t>エイヨウ</t>
    </rPh>
    <rPh sb="10" eb="12">
      <t>レンケイ</t>
    </rPh>
    <rPh sb="12" eb="14">
      <t>カサン</t>
    </rPh>
    <phoneticPr fontId="27"/>
  </si>
  <si>
    <t>22.外国人採用_日本在住</t>
    <rPh sb="3" eb="5">
      <t>ガイコク</t>
    </rPh>
    <rPh sb="5" eb="6">
      <t>ジン</t>
    </rPh>
    <rPh sb="6" eb="8">
      <t>サイヨウ</t>
    </rPh>
    <rPh sb="9" eb="11">
      <t>ニホン</t>
    </rPh>
    <rPh sb="11" eb="13">
      <t>ザイジュウ</t>
    </rPh>
    <phoneticPr fontId="27"/>
  </si>
  <si>
    <t>外国人採用_EPA</t>
    <rPh sb="0" eb="2">
      <t>ガイコク</t>
    </rPh>
    <rPh sb="2" eb="3">
      <t>ジン</t>
    </rPh>
    <rPh sb="3" eb="5">
      <t>サイヨウ</t>
    </rPh>
    <phoneticPr fontId="27"/>
  </si>
  <si>
    <t>外国人採用_留学生</t>
    <rPh sb="0" eb="2">
      <t>ガイコク</t>
    </rPh>
    <rPh sb="2" eb="3">
      <t>ジン</t>
    </rPh>
    <rPh sb="3" eb="5">
      <t>サイヨウ</t>
    </rPh>
    <rPh sb="6" eb="9">
      <t>リュウガクセイ</t>
    </rPh>
    <phoneticPr fontId="27"/>
  </si>
  <si>
    <t>外国人採用_合計</t>
    <rPh sb="0" eb="2">
      <t>ガイコク</t>
    </rPh>
    <rPh sb="2" eb="3">
      <t>ジン</t>
    </rPh>
    <rPh sb="3" eb="5">
      <t>サイヨウ</t>
    </rPh>
    <rPh sb="6" eb="8">
      <t>ゴウケイ</t>
    </rPh>
    <phoneticPr fontId="27"/>
  </si>
  <si>
    <t>定年年齢</t>
    <rPh sb="0" eb="2">
      <t>テイネン</t>
    </rPh>
    <rPh sb="2" eb="4">
      <t>ネンレイ</t>
    </rPh>
    <phoneticPr fontId="27"/>
  </si>
  <si>
    <t>23.継続雇用制度への対応</t>
    <rPh sb="3" eb="5">
      <t>ケイゾク</t>
    </rPh>
    <rPh sb="5" eb="7">
      <t>コヨウ</t>
    </rPh>
    <rPh sb="7" eb="9">
      <t>セイド</t>
    </rPh>
    <rPh sb="11" eb="13">
      <t>タイオウ</t>
    </rPh>
    <phoneticPr fontId="27"/>
  </si>
  <si>
    <t>紹介予定派遣_正規_男性</t>
    <rPh sb="0" eb="2">
      <t>ショウカイ</t>
    </rPh>
    <rPh sb="2" eb="4">
      <t>ヨテイ</t>
    </rPh>
    <rPh sb="4" eb="6">
      <t>ハケン</t>
    </rPh>
    <rPh sb="7" eb="9">
      <t>セイキ</t>
    </rPh>
    <rPh sb="10" eb="12">
      <t>ダンセイ</t>
    </rPh>
    <phoneticPr fontId="27"/>
  </si>
  <si>
    <t>紹介予定派遣_正規_女性</t>
    <rPh sb="0" eb="2">
      <t>ショウカイ</t>
    </rPh>
    <rPh sb="2" eb="4">
      <t>ヨテイ</t>
    </rPh>
    <rPh sb="4" eb="6">
      <t>ハケン</t>
    </rPh>
    <rPh sb="7" eb="9">
      <t>セイキ</t>
    </rPh>
    <rPh sb="10" eb="12">
      <t>ジョセイ</t>
    </rPh>
    <phoneticPr fontId="27"/>
  </si>
  <si>
    <t>紹介予定派遣_非正規_男性</t>
    <rPh sb="0" eb="6">
      <t>ショウカイヨテイハケン</t>
    </rPh>
    <rPh sb="7" eb="10">
      <t>ヒセイキ</t>
    </rPh>
    <rPh sb="11" eb="13">
      <t>ダンセイ</t>
    </rPh>
    <phoneticPr fontId="27"/>
  </si>
  <si>
    <t>紹介予定派遣_非正規_女性</t>
    <rPh sb="0" eb="2">
      <t>ショウカイ</t>
    </rPh>
    <rPh sb="2" eb="4">
      <t>ヨテイ</t>
    </rPh>
    <rPh sb="4" eb="6">
      <t>ハケン</t>
    </rPh>
    <rPh sb="7" eb="10">
      <t>ヒセイキ</t>
    </rPh>
    <rPh sb="11" eb="13">
      <t>ジョセイ</t>
    </rPh>
    <phoneticPr fontId="27"/>
  </si>
  <si>
    <r>
      <rPr>
        <u/>
        <sz val="11"/>
        <rFont val="ＭＳ Ｐ明朝"/>
        <family val="1"/>
        <charset val="128"/>
      </rPr>
      <t>①「調査票」のエクセルファイルには保護がかかっているため、コピー、ペースト（貼り付けをすること）ができません。
提出時は複数でのご提出は一切受け付けておりませんので、職員が分担し、複数ファイルでそれぞれご入力する場合、回答を転記し、ファイルを1つに統合してからご提出ください。</t>
    </r>
    <r>
      <rPr>
        <sz val="11"/>
        <rFont val="ＭＳ Ｐ明朝"/>
        <family val="1"/>
        <charset val="128"/>
      </rPr>
      <t xml:space="preserve">
②ファイル名を「横浜_第8回調査（施設コード）」に変更してください。
　例：</t>
    </r>
    <r>
      <rPr>
        <b/>
        <sz val="11"/>
        <rFont val="ＭＳ Ｐ明朝"/>
        <family val="1"/>
        <charset val="128"/>
      </rPr>
      <t>横浜_第8回調査（Y000)</t>
    </r>
    <r>
      <rPr>
        <sz val="11"/>
        <rFont val="ＭＳ Ｐ明朝"/>
        <family val="1"/>
        <charset val="128"/>
      </rPr>
      <t xml:space="preserve">
③</t>
    </r>
    <r>
      <rPr>
        <b/>
        <sz val="11"/>
        <rFont val="ＭＳ Ｐ明朝"/>
        <family val="1"/>
        <charset val="128"/>
      </rPr>
      <t>yokohama-tokuyo@kawahara-group.co.jp</t>
    </r>
    <r>
      <rPr>
        <sz val="11"/>
        <rFont val="ＭＳ Ｐ明朝"/>
        <family val="1"/>
        <charset val="128"/>
      </rPr>
      <t xml:space="preserve">
までメールを送付してください。</t>
    </r>
    <rPh sb="2" eb="5">
      <t>チョウサヒョウ</t>
    </rPh>
    <rPh sb="17" eb="19">
      <t>ホゴ</t>
    </rPh>
    <rPh sb="38" eb="39">
      <t>ハ</t>
    </rPh>
    <rPh sb="40" eb="41">
      <t>ツ</t>
    </rPh>
    <rPh sb="56" eb="58">
      <t>テイシュツ</t>
    </rPh>
    <rPh sb="58" eb="59">
      <t>ジ</t>
    </rPh>
    <rPh sb="60" eb="62">
      <t>フクスウ</t>
    </rPh>
    <rPh sb="65" eb="67">
      <t>テイシュツ</t>
    </rPh>
    <rPh sb="68" eb="70">
      <t>イッサイ</t>
    </rPh>
    <rPh sb="70" eb="71">
      <t>ウ</t>
    </rPh>
    <rPh sb="72" eb="73">
      <t>ツ</t>
    </rPh>
    <rPh sb="83" eb="85">
      <t>ショクイン</t>
    </rPh>
    <rPh sb="86" eb="88">
      <t>ブンタン</t>
    </rPh>
    <rPh sb="90" eb="92">
      <t>フクスウ</t>
    </rPh>
    <rPh sb="102" eb="104">
      <t>ニュウリョク</t>
    </rPh>
    <rPh sb="106" eb="108">
      <t>バアイ</t>
    </rPh>
    <rPh sb="109" eb="111">
      <t>カイトウ</t>
    </rPh>
    <rPh sb="112" eb="114">
      <t>テンキ</t>
    </rPh>
    <rPh sb="124" eb="126">
      <t>トウゴウ</t>
    </rPh>
    <rPh sb="131" eb="133">
      <t>テイシュツ</t>
    </rPh>
    <phoneticPr fontId="10"/>
  </si>
  <si>
    <r>
      <t>①「決算書」については、PDFに変換したデータファイルを添付してください。PDFに変換できない場合は、エクセル等のソフトで閲覧できるフォーマットでご提出ください。
②ファイル名を「横浜_第8回調査（施設コード）決算書類」に変更してください。
　例：</t>
    </r>
    <r>
      <rPr>
        <b/>
        <sz val="11"/>
        <rFont val="ＭＳ Ｐ明朝"/>
        <family val="1"/>
        <charset val="128"/>
      </rPr>
      <t>横浜_第8回調査（Y000)決算書類</t>
    </r>
    <r>
      <rPr>
        <sz val="11"/>
        <rFont val="ＭＳ Ｐ明朝"/>
        <family val="1"/>
        <charset val="128"/>
      </rPr>
      <t xml:space="preserve">
③</t>
    </r>
    <r>
      <rPr>
        <u/>
        <sz val="11"/>
        <rFont val="ＭＳ Ｐ明朝"/>
        <family val="1"/>
        <charset val="128"/>
      </rPr>
      <t>「調査票」と一緒にメールに添付してください。</t>
    </r>
    <rPh sb="2" eb="5">
      <t>ケッサンショ</t>
    </rPh>
    <rPh sb="16" eb="18">
      <t>ヘンカン</t>
    </rPh>
    <rPh sb="28" eb="30">
      <t>テンプ</t>
    </rPh>
    <rPh sb="41" eb="43">
      <t>ヘンカン</t>
    </rPh>
    <rPh sb="47" eb="49">
      <t>バアイ</t>
    </rPh>
    <rPh sb="55" eb="56">
      <t>ナド</t>
    </rPh>
    <rPh sb="61" eb="63">
      <t>エツラン</t>
    </rPh>
    <rPh sb="74" eb="76">
      <t>テイシュツ</t>
    </rPh>
    <phoneticPr fontId="10"/>
  </si>
  <si>
    <t>氏名</t>
    <rPh sb="0" eb="2">
      <t>シメイ</t>
    </rPh>
    <phoneticPr fontId="27"/>
  </si>
  <si>
    <t>※人数の内、数字のみコピーして、左側に「値」で貼り付けしてください。</t>
    <rPh sb="1" eb="3">
      <t>ニンズウ</t>
    </rPh>
    <rPh sb="4" eb="5">
      <t>ウチ</t>
    </rPh>
    <rPh sb="6" eb="8">
      <t>スウジ</t>
    </rPh>
    <rPh sb="16" eb="18">
      <t>ヒダリガワ</t>
    </rPh>
    <rPh sb="20" eb="21">
      <t>アタイ</t>
    </rPh>
    <rPh sb="23" eb="24">
      <t>ハ</t>
    </rPh>
    <rPh sb="25" eb="26">
      <t>ツ</t>
    </rPh>
    <phoneticPr fontId="10"/>
  </si>
  <si>
    <t>←</t>
    <phoneticPr fontId="10"/>
  </si>
  <si>
    <t>←</t>
    <phoneticPr fontId="10"/>
  </si>
  <si>
    <t>↓</t>
    <phoneticPr fontId="10"/>
  </si>
  <si>
    <t>名</t>
    <rPh sb="0" eb="1">
      <t>メイ</t>
    </rPh>
    <phoneticPr fontId="10"/>
  </si>
  <si>
    <t>※人数の内、数字のみコピーして、左側に「値」で貼り付けしてください。</t>
    <phoneticPr fontId="10"/>
  </si>
  <si>
    <t>＜退職者の状況（年間）＞※「名」には保護が掛かっています。右側から数字のみコピーして貼り付けてください。</t>
    <rPh sb="1" eb="4">
      <t>タイショクシャ</t>
    </rPh>
    <rPh sb="5" eb="7">
      <t>ジョウキョウ</t>
    </rPh>
    <rPh sb="8" eb="10">
      <t>ネンカン</t>
    </rPh>
    <rPh sb="29" eb="31">
      <t>ミギガワ</t>
    </rPh>
    <phoneticPr fontId="10"/>
  </si>
  <si>
    <t>※「名」には保護が掛かっています。右側から数字のみコピーして貼り付けてください。</t>
    <phoneticPr fontId="10"/>
  </si>
  <si>
    <t>●</t>
    <phoneticPr fontId="10"/>
  </si>
  <si>
    <t>対象サービスは「1.特養・短期入所」、「2.特養のみ」です。</t>
    <phoneticPr fontId="10"/>
  </si>
  <si>
    <t>特養+短期入所</t>
    <rPh sb="0" eb="2">
      <t>トクヨウ</t>
    </rPh>
    <rPh sb="3" eb="5">
      <t>タンキ</t>
    </rPh>
    <rPh sb="5" eb="7">
      <t>ニュウショ</t>
    </rPh>
    <phoneticPr fontId="50"/>
  </si>
  <si>
    <t>特養</t>
    <rPh sb="0" eb="2">
      <t>トクヨウ</t>
    </rPh>
    <phoneticPr fontId="50"/>
  </si>
  <si>
    <t>短期入所</t>
    <rPh sb="0" eb="2">
      <t>タンキ</t>
    </rPh>
    <rPh sb="2" eb="4">
      <t>ニュウショ</t>
    </rPh>
    <phoneticPr fontId="50"/>
  </si>
  <si>
    <t>介護保険事業収益</t>
    <phoneticPr fontId="10"/>
  </si>
  <si>
    <t>　　補助金事業収益（公費）</t>
    <rPh sb="2" eb="5">
      <t>ホジョキン</t>
    </rPh>
    <rPh sb="5" eb="7">
      <t>ジギョウ</t>
    </rPh>
    <rPh sb="7" eb="9">
      <t>シュウエキ</t>
    </rPh>
    <rPh sb="10" eb="12">
      <t>コウヒ</t>
    </rPh>
    <phoneticPr fontId="10"/>
  </si>
  <si>
    <t>　　市町村特別事業収益（公費）</t>
    <rPh sb="2" eb="5">
      <t>シチョウソン</t>
    </rPh>
    <rPh sb="5" eb="7">
      <t>トクベツ</t>
    </rPh>
    <rPh sb="7" eb="9">
      <t>ジギョウ</t>
    </rPh>
    <rPh sb="9" eb="11">
      <t>シュウエキ</t>
    </rPh>
    <phoneticPr fontId="10"/>
  </si>
  <si>
    <t>　　受託事業収益（公費）</t>
    <rPh sb="2" eb="4">
      <t>ジュタク</t>
    </rPh>
    <rPh sb="4" eb="6">
      <t>ジギョウ</t>
    </rPh>
    <rPh sb="6" eb="8">
      <t>シュウエキ</t>
    </rPh>
    <phoneticPr fontId="10"/>
  </si>
  <si>
    <t>経常経費寄附金収益</t>
    <phoneticPr fontId="10"/>
  </si>
  <si>
    <t>サービス活動収益計（１）</t>
    <rPh sb="4" eb="6">
      <t>カツドウ</t>
    </rPh>
    <rPh sb="6" eb="8">
      <t>シュウエキ</t>
    </rPh>
    <rPh sb="8" eb="9">
      <t>ケイ</t>
    </rPh>
    <phoneticPr fontId="10"/>
  </si>
  <si>
    <t>　修繕費</t>
    <rPh sb="1" eb="4">
      <t>シュウゼンヒ</t>
    </rPh>
    <phoneticPr fontId="10"/>
  </si>
  <si>
    <t>国庫補助金等特別積立金取崩額</t>
    <rPh sb="0" eb="2">
      <t>コッコ</t>
    </rPh>
    <rPh sb="2" eb="5">
      <t>ホジョキン</t>
    </rPh>
    <rPh sb="5" eb="6">
      <t>ナド</t>
    </rPh>
    <rPh sb="6" eb="8">
      <t>トクベツ</t>
    </rPh>
    <rPh sb="8" eb="10">
      <t>ツミタテ</t>
    </rPh>
    <rPh sb="10" eb="11">
      <t>キン</t>
    </rPh>
    <rPh sb="11" eb="13">
      <t>トリクズ</t>
    </rPh>
    <rPh sb="13" eb="14">
      <t>ガク</t>
    </rPh>
    <phoneticPr fontId="10"/>
  </si>
  <si>
    <t>※マイナス入力しないよう×-1がされます</t>
    <rPh sb="5" eb="7">
      <t>ニュウリョク</t>
    </rPh>
    <phoneticPr fontId="50"/>
  </si>
  <si>
    <t>サービス活動費用計（２）</t>
    <rPh sb="4" eb="6">
      <t>カツドウ</t>
    </rPh>
    <rPh sb="6" eb="8">
      <t>ヒヨウ</t>
    </rPh>
    <rPh sb="8" eb="9">
      <t>ケイ</t>
    </rPh>
    <phoneticPr fontId="10"/>
  </si>
  <si>
    <t>サービス活動増減差額（３）＝（１）－（２）</t>
    <phoneticPr fontId="10"/>
  </si>
  <si>
    <t>サービス活動外収益計（４）</t>
    <rPh sb="4" eb="6">
      <t>カツドウ</t>
    </rPh>
    <rPh sb="6" eb="7">
      <t>ガイ</t>
    </rPh>
    <rPh sb="7" eb="9">
      <t>シュウエキ</t>
    </rPh>
    <rPh sb="9" eb="10">
      <t>ケイ</t>
    </rPh>
    <phoneticPr fontId="11"/>
  </si>
  <si>
    <t>サービス活動外費用計（５）</t>
    <rPh sb="4" eb="6">
      <t>カツドウ</t>
    </rPh>
    <rPh sb="6" eb="7">
      <t>ガイ</t>
    </rPh>
    <rPh sb="7" eb="9">
      <t>ヒヨウ</t>
    </rPh>
    <rPh sb="9" eb="10">
      <t>ケイ</t>
    </rPh>
    <phoneticPr fontId="11"/>
  </si>
  <si>
    <t>サービス活動外増減差額（６）＝（４）－（５）</t>
    <rPh sb="4" eb="6">
      <t>カツドウ</t>
    </rPh>
    <rPh sb="6" eb="7">
      <t>ガイ</t>
    </rPh>
    <rPh sb="7" eb="9">
      <t>ゾウゲン</t>
    </rPh>
    <rPh sb="9" eb="11">
      <t>サガク</t>
    </rPh>
    <phoneticPr fontId="11"/>
  </si>
  <si>
    <t>経常増減差額（７）＝（３）＋（６）</t>
    <rPh sb="0" eb="2">
      <t>ケイジョウ</t>
    </rPh>
    <rPh sb="2" eb="4">
      <t>ゾウゲン</t>
    </rPh>
    <rPh sb="4" eb="6">
      <t>サガク</t>
    </rPh>
    <phoneticPr fontId="10"/>
  </si>
  <si>
    <t>●</t>
    <phoneticPr fontId="10"/>
  </si>
  <si>
    <t>対象サービスは「3.拠点区分」です。</t>
    <rPh sb="10" eb="12">
      <t>キョテン</t>
    </rPh>
    <rPh sb="12" eb="14">
      <t>クブン</t>
    </rPh>
    <phoneticPr fontId="10"/>
  </si>
  <si>
    <t>3.拠点区分</t>
  </si>
  <si>
    <t>流動資産</t>
    <rPh sb="0" eb="2">
      <t>リュウドウ</t>
    </rPh>
    <rPh sb="2" eb="4">
      <t>シサン</t>
    </rPh>
    <phoneticPr fontId="10"/>
  </si>
  <si>
    <t>　現金預金</t>
    <rPh sb="1" eb="3">
      <t>ゲンキン</t>
    </rPh>
    <rPh sb="3" eb="5">
      <t>ヨキン</t>
    </rPh>
    <phoneticPr fontId="10"/>
  </si>
  <si>
    <t>　有価証券</t>
    <rPh sb="1" eb="3">
      <t>ユウカ</t>
    </rPh>
    <rPh sb="3" eb="5">
      <t>ショウケン</t>
    </rPh>
    <phoneticPr fontId="10"/>
  </si>
  <si>
    <t>　未収金</t>
    <rPh sb="1" eb="4">
      <t>ミシュウキン</t>
    </rPh>
    <phoneticPr fontId="10"/>
  </si>
  <si>
    <t>　事業区分間貸付金</t>
    <rPh sb="1" eb="3">
      <t>ジギョウ</t>
    </rPh>
    <rPh sb="3" eb="5">
      <t>クブン</t>
    </rPh>
    <rPh sb="5" eb="6">
      <t>アイダ</t>
    </rPh>
    <rPh sb="6" eb="8">
      <t>カシツケ</t>
    </rPh>
    <rPh sb="8" eb="9">
      <t>キン</t>
    </rPh>
    <phoneticPr fontId="10"/>
  </si>
  <si>
    <t>　拠点区分間貸付金</t>
    <phoneticPr fontId="10"/>
  </si>
  <si>
    <t>　その他の流動資産</t>
    <rPh sb="3" eb="4">
      <t>タ</t>
    </rPh>
    <rPh sb="5" eb="7">
      <t>リュウドウ</t>
    </rPh>
    <rPh sb="7" eb="9">
      <t>シサン</t>
    </rPh>
    <phoneticPr fontId="10"/>
  </si>
  <si>
    <t>固定資産</t>
    <rPh sb="0" eb="2">
      <t>コテイ</t>
    </rPh>
    <rPh sb="2" eb="4">
      <t>シサン</t>
    </rPh>
    <phoneticPr fontId="10"/>
  </si>
  <si>
    <t>基本財産</t>
    <rPh sb="0" eb="2">
      <t>キホン</t>
    </rPh>
    <rPh sb="2" eb="4">
      <t>ザイサン</t>
    </rPh>
    <phoneticPr fontId="10"/>
  </si>
  <si>
    <t>その他の固定資産</t>
    <rPh sb="2" eb="3">
      <t>タ</t>
    </rPh>
    <rPh sb="4" eb="6">
      <t>コテイ</t>
    </rPh>
    <rPh sb="6" eb="8">
      <t>シサン</t>
    </rPh>
    <phoneticPr fontId="10"/>
  </si>
  <si>
    <t>流動負債</t>
    <rPh sb="0" eb="2">
      <t>リュウドウ</t>
    </rPh>
    <rPh sb="2" eb="4">
      <t>フサイ</t>
    </rPh>
    <phoneticPr fontId="10"/>
  </si>
  <si>
    <t>短期運営資金借入金</t>
    <rPh sb="0" eb="2">
      <t>タンキ</t>
    </rPh>
    <rPh sb="2" eb="4">
      <t>ウンエイ</t>
    </rPh>
    <rPh sb="4" eb="6">
      <t>シキン</t>
    </rPh>
    <rPh sb="6" eb="8">
      <t>カリイレ</t>
    </rPh>
    <rPh sb="8" eb="9">
      <t>キン</t>
    </rPh>
    <phoneticPr fontId="10"/>
  </si>
  <si>
    <t>固定負債</t>
    <rPh sb="0" eb="2">
      <t>コテイ</t>
    </rPh>
    <rPh sb="2" eb="4">
      <t>フサイ</t>
    </rPh>
    <phoneticPr fontId="10"/>
  </si>
  <si>
    <t>設備資金借入金</t>
    <rPh sb="0" eb="2">
      <t>セツビ</t>
    </rPh>
    <rPh sb="2" eb="4">
      <t>シキン</t>
    </rPh>
    <rPh sb="4" eb="6">
      <t>カリイレ</t>
    </rPh>
    <rPh sb="6" eb="7">
      <t>キン</t>
    </rPh>
    <phoneticPr fontId="10"/>
  </si>
  <si>
    <t>長期運営資金借入金</t>
    <rPh sb="0" eb="2">
      <t>チョウキ</t>
    </rPh>
    <rPh sb="2" eb="4">
      <t>ウンエイ</t>
    </rPh>
    <rPh sb="4" eb="6">
      <t>シキン</t>
    </rPh>
    <rPh sb="6" eb="8">
      <t>カリイレ</t>
    </rPh>
    <rPh sb="8" eb="9">
      <t>キン</t>
    </rPh>
    <phoneticPr fontId="10"/>
  </si>
  <si>
    <t>退職給与引当金</t>
    <rPh sb="0" eb="2">
      <t>タイショク</t>
    </rPh>
    <rPh sb="2" eb="4">
      <t>キュウヨ</t>
    </rPh>
    <rPh sb="4" eb="6">
      <t>ヒキアテ</t>
    </rPh>
    <rPh sb="6" eb="7">
      <t>キン</t>
    </rPh>
    <phoneticPr fontId="10"/>
  </si>
  <si>
    <t>純資産の部合計</t>
    <rPh sb="0" eb="3">
      <t>ジュンシサン</t>
    </rPh>
    <rPh sb="4" eb="5">
      <t>ブ</t>
    </rPh>
    <rPh sb="5" eb="7">
      <t>ゴウケイ</t>
    </rPh>
    <phoneticPr fontId="10"/>
  </si>
  <si>
    <t>基本金</t>
    <rPh sb="0" eb="2">
      <t>キホン</t>
    </rPh>
    <rPh sb="2" eb="3">
      <t>キン</t>
    </rPh>
    <phoneticPr fontId="10"/>
  </si>
  <si>
    <t>国庫補助金等特別積立金</t>
    <rPh sb="0" eb="2">
      <t>コッコ</t>
    </rPh>
    <rPh sb="2" eb="6">
      <t>ホジョキンナド</t>
    </rPh>
    <rPh sb="6" eb="8">
      <t>トクベツ</t>
    </rPh>
    <rPh sb="8" eb="10">
      <t>ツミタテ</t>
    </rPh>
    <rPh sb="10" eb="11">
      <t>キン</t>
    </rPh>
    <phoneticPr fontId="10"/>
  </si>
  <si>
    <t>その他の積立金</t>
    <rPh sb="2" eb="3">
      <t>タ</t>
    </rPh>
    <rPh sb="4" eb="6">
      <t>ツミタテ</t>
    </rPh>
    <rPh sb="6" eb="7">
      <t>キン</t>
    </rPh>
    <phoneticPr fontId="10"/>
  </si>
  <si>
    <t>次期繰越活動増減差額</t>
    <phoneticPr fontId="10"/>
  </si>
  <si>
    <t>事業活動収入計（１）</t>
    <rPh sb="0" eb="2">
      <t>ジギョウ</t>
    </rPh>
    <rPh sb="2" eb="4">
      <t>カツドウ</t>
    </rPh>
    <rPh sb="4" eb="6">
      <t>シュウニュウ</t>
    </rPh>
    <rPh sb="6" eb="7">
      <t>ケイ</t>
    </rPh>
    <phoneticPr fontId="10"/>
  </si>
  <si>
    <t>事業活動支出計（２）</t>
    <rPh sb="0" eb="2">
      <t>ジギョウ</t>
    </rPh>
    <rPh sb="2" eb="4">
      <t>カツドウ</t>
    </rPh>
    <rPh sb="4" eb="6">
      <t>シシュツ</t>
    </rPh>
    <rPh sb="6" eb="7">
      <t>ケイ</t>
    </rPh>
    <phoneticPr fontId="10"/>
  </si>
  <si>
    <t>事業活動資金収支差額（３）＝（１）－（２）</t>
    <rPh sb="0" eb="2">
      <t>ジギョウ</t>
    </rPh>
    <rPh sb="2" eb="4">
      <t>カツドウ</t>
    </rPh>
    <rPh sb="4" eb="6">
      <t>シキン</t>
    </rPh>
    <rPh sb="6" eb="8">
      <t>シュウシ</t>
    </rPh>
    <rPh sb="8" eb="10">
      <t>サガク</t>
    </rPh>
    <phoneticPr fontId="10"/>
  </si>
  <si>
    <t>施設整備等収入計（４）</t>
    <rPh sb="0" eb="2">
      <t>シセツ</t>
    </rPh>
    <rPh sb="2" eb="5">
      <t>セイビナド</t>
    </rPh>
    <rPh sb="5" eb="7">
      <t>シュウニュウ</t>
    </rPh>
    <rPh sb="7" eb="8">
      <t>ケイ</t>
    </rPh>
    <phoneticPr fontId="10"/>
  </si>
  <si>
    <t>施設整備等支出計（５）</t>
    <rPh sb="0" eb="2">
      <t>シセツ</t>
    </rPh>
    <rPh sb="2" eb="4">
      <t>セイビ</t>
    </rPh>
    <rPh sb="4" eb="5">
      <t>トウ</t>
    </rPh>
    <rPh sb="5" eb="7">
      <t>シシュツ</t>
    </rPh>
    <rPh sb="7" eb="8">
      <t>ケイ</t>
    </rPh>
    <phoneticPr fontId="10"/>
  </si>
  <si>
    <t>施設整備等資金収支差額（６）＝（４）－（５）</t>
    <rPh sb="0" eb="2">
      <t>シセツ</t>
    </rPh>
    <rPh sb="2" eb="4">
      <t>セイビ</t>
    </rPh>
    <rPh sb="4" eb="5">
      <t>トウ</t>
    </rPh>
    <rPh sb="5" eb="7">
      <t>シキン</t>
    </rPh>
    <rPh sb="7" eb="9">
      <t>シュウシ</t>
    </rPh>
    <rPh sb="9" eb="11">
      <t>サガク</t>
    </rPh>
    <phoneticPr fontId="10"/>
  </si>
  <si>
    <t>その他の活動収入計（７）</t>
    <rPh sb="2" eb="3">
      <t>タ</t>
    </rPh>
    <rPh sb="4" eb="6">
      <t>カツドウ</t>
    </rPh>
    <rPh sb="6" eb="8">
      <t>シュウニュウ</t>
    </rPh>
    <rPh sb="8" eb="9">
      <t>ケイ</t>
    </rPh>
    <phoneticPr fontId="10"/>
  </si>
  <si>
    <t>その他の活動支出計（８）</t>
    <rPh sb="2" eb="3">
      <t>タ</t>
    </rPh>
    <rPh sb="4" eb="6">
      <t>カツドウ</t>
    </rPh>
    <rPh sb="6" eb="8">
      <t>シシュツ</t>
    </rPh>
    <rPh sb="8" eb="9">
      <t>ケイ</t>
    </rPh>
    <phoneticPr fontId="10"/>
  </si>
  <si>
    <t>その他の活動資金収支差額（９）＝（７）－（８）</t>
    <rPh sb="2" eb="3">
      <t>タ</t>
    </rPh>
    <rPh sb="4" eb="6">
      <t>カツドウ</t>
    </rPh>
    <rPh sb="6" eb="8">
      <t>シキン</t>
    </rPh>
    <rPh sb="8" eb="10">
      <t>シュウシ</t>
    </rPh>
    <rPh sb="10" eb="12">
      <t>サガク</t>
    </rPh>
    <phoneticPr fontId="10"/>
  </si>
  <si>
    <t>●</t>
    <phoneticPr fontId="10"/>
  </si>
  <si>
    <t>介護保険事業収入</t>
    <phoneticPr fontId="10"/>
  </si>
  <si>
    <t>経常経費寄附金収入</t>
    <phoneticPr fontId="10"/>
  </si>
  <si>
    <t>長期運営資金借入金元金償還支出</t>
    <phoneticPr fontId="10"/>
  </si>
  <si>
    <t>ＴＥＬ　０３－５４２２－７３４８　ＦＡＸ　０３－５４２２－７９９６</t>
    <phoneticPr fontId="10"/>
  </si>
  <si>
    <t>←</t>
    <phoneticPr fontId="10"/>
  </si>
  <si>
    <t>第1段階「自己負担無」は、市の利用者負担額軽減制度に該当し、食費・居住費などを全額公費で負担されている場合です。</t>
    <rPh sb="13" eb="14">
      <t>シ</t>
    </rPh>
    <rPh sb="14" eb="15">
      <t>ハライチ</t>
    </rPh>
    <phoneticPr fontId="10"/>
  </si>
  <si>
    <t>提出期限 ： 2019年 7月12日（金）必着</t>
    <rPh sb="0" eb="2">
      <t>テイシュツ</t>
    </rPh>
    <rPh sb="19" eb="20">
      <t>キン</t>
    </rPh>
    <phoneticPr fontId="10"/>
  </si>
  <si>
    <t>特養実態調査チーム　担当者：香山、水田　　　</t>
    <rPh sb="0" eb="2">
      <t>トクヨウ</t>
    </rPh>
    <rPh sb="2" eb="4">
      <t>ジッタイ</t>
    </rPh>
    <rPh sb="4" eb="6">
      <t>チョウサ</t>
    </rPh>
    <rPh sb="14" eb="16">
      <t>カヤマ</t>
    </rPh>
    <rPh sb="17" eb="19">
      <t>ミズタ</t>
    </rPh>
    <phoneticPr fontId="10"/>
  </si>
  <si>
    <t>南</t>
    <rPh sb="0" eb="1">
      <t>ミナミ</t>
    </rPh>
    <phoneticPr fontId="10"/>
  </si>
  <si>
    <t>緑</t>
    <rPh sb="0" eb="1">
      <t>ミドリ</t>
    </rPh>
    <phoneticPr fontId="10"/>
  </si>
  <si>
    <t>●</t>
    <phoneticPr fontId="10"/>
  </si>
  <si>
    <r>
      <t>時給金額に幅がある場合、</t>
    </r>
    <r>
      <rPr>
        <u/>
        <sz val="11"/>
        <color theme="1"/>
        <rFont val="ＭＳ Ｐ明朝"/>
        <family val="1"/>
        <charset val="128"/>
      </rPr>
      <t>下限金額を記載してください（例、時給960～1,150円と設定している場合、960円と記載）。</t>
    </r>
    <rPh sb="0" eb="2">
      <t>ジキュウ</t>
    </rPh>
    <rPh sb="2" eb="4">
      <t>キンガク</t>
    </rPh>
    <rPh sb="5" eb="6">
      <t>ハバ</t>
    </rPh>
    <rPh sb="9" eb="11">
      <t>バアイ</t>
    </rPh>
    <rPh sb="12" eb="14">
      <t>カゲン</t>
    </rPh>
    <rPh sb="14" eb="16">
      <t>キンガク</t>
    </rPh>
    <rPh sb="17" eb="19">
      <t>キサイ</t>
    </rPh>
    <rPh sb="26" eb="27">
      <t>タト</t>
    </rPh>
    <rPh sb="28" eb="30">
      <t>ジキュウ</t>
    </rPh>
    <rPh sb="39" eb="40">
      <t>エン</t>
    </rPh>
    <rPh sb="41" eb="43">
      <t>セッテイ</t>
    </rPh>
    <rPh sb="47" eb="49">
      <t>バアイ</t>
    </rPh>
    <rPh sb="53" eb="54">
      <t>エン</t>
    </rPh>
    <rPh sb="55" eb="57">
      <t>キサイ</t>
    </rPh>
    <phoneticPr fontId="10"/>
  </si>
  <si>
    <t>資産の部合計</t>
    <rPh sb="0" eb="2">
      <t>シサン</t>
    </rPh>
    <rPh sb="3" eb="4">
      <t>ブ</t>
    </rPh>
    <rPh sb="4" eb="6">
      <t>ゴウケイ</t>
    </rPh>
    <phoneticPr fontId="10"/>
  </si>
  <si>
    <t>負債の部合計</t>
    <rPh sb="0" eb="2">
      <t>フサイ</t>
    </rPh>
    <rPh sb="3" eb="4">
      <t>ブ</t>
    </rPh>
    <rPh sb="4" eb="6">
      <t>ゴウケイ</t>
    </rPh>
    <phoneticPr fontId="10"/>
  </si>
  <si>
    <t>負債及び純資産の部合計</t>
    <rPh sb="0" eb="2">
      <t>フサイ</t>
    </rPh>
    <rPh sb="2" eb="3">
      <t>オヨ</t>
    </rPh>
    <rPh sb="4" eb="7">
      <t>ジュンシサン</t>
    </rPh>
    <rPh sb="8" eb="9">
      <t>ブ</t>
    </rPh>
    <rPh sb="9" eb="11">
      <t>ゴウケイ</t>
    </rPh>
    <phoneticPr fontId="10"/>
  </si>
  <si>
    <t>「集計アシストシート」には個人情報が含まれています。ご提出時は「集計アシストシート」の情報を削除してからご提出ください。</t>
    <phoneticPr fontId="27"/>
  </si>
  <si>
    <r>
      <t xml:space="preserve">「集計アシストシート」を用いて算出されたデータ（調査票の右側）は、必ず「値貼り付け」で転記してください。
</t>
    </r>
    <r>
      <rPr>
        <sz val="11"/>
        <color rgb="FFFF0000"/>
        <rFont val="ＭＳ Ｐ明朝"/>
        <family val="1"/>
        <charset val="128"/>
      </rPr>
      <t>（ただの「貼り付け」では関数が張り付けられるため、ご提出後に「0（ブランク）」になります）</t>
    </r>
    <rPh sb="79" eb="81">
      <t>テイシュツ</t>
    </rPh>
    <rPh sb="81" eb="82">
      <t>ゴ</t>
    </rPh>
    <phoneticPr fontId="27"/>
  </si>
  <si>
    <t>年間休日日数</t>
    <rPh sb="0" eb="2">
      <t>ネンカン</t>
    </rPh>
    <rPh sb="2" eb="4">
      <t>キュウジツ</t>
    </rPh>
    <rPh sb="4" eb="6">
      <t>ニッスウ</t>
    </rPh>
    <phoneticPr fontId="10"/>
  </si>
  <si>
    <t>日</t>
    <rPh sb="0" eb="1">
      <t>ニチ</t>
    </rPh>
    <phoneticPr fontId="10"/>
  </si>
  <si>
    <t>夜勤形態</t>
    <rPh sb="0" eb="2">
      <t>ヤキン</t>
    </rPh>
    <rPh sb="2" eb="4">
      <t>ケイタイ</t>
    </rPh>
    <phoneticPr fontId="10"/>
  </si>
  <si>
    <t>貴施設の夜勤体制について、「16時間夜勤（2交替制）」または「8時間夜勤（3交代制）」のいずれか選択し、1回あたりの夜勤手当の金額を記入してください。</t>
    <rPh sb="0" eb="1">
      <t>キ</t>
    </rPh>
    <rPh sb="1" eb="3">
      <t>シセツ</t>
    </rPh>
    <rPh sb="4" eb="6">
      <t>ヤキン</t>
    </rPh>
    <rPh sb="6" eb="8">
      <t>タイセイ</t>
    </rPh>
    <rPh sb="16" eb="18">
      <t>ジカン</t>
    </rPh>
    <rPh sb="18" eb="20">
      <t>ヤキン</t>
    </rPh>
    <rPh sb="22" eb="24">
      <t>コウタイ</t>
    </rPh>
    <rPh sb="24" eb="25">
      <t>セイ</t>
    </rPh>
    <rPh sb="32" eb="34">
      <t>ジカン</t>
    </rPh>
    <rPh sb="34" eb="36">
      <t>ヤキン</t>
    </rPh>
    <rPh sb="38" eb="41">
      <t>コウタイセイ</t>
    </rPh>
    <rPh sb="48" eb="50">
      <t>センタク</t>
    </rPh>
    <rPh sb="53" eb="54">
      <t>カイ</t>
    </rPh>
    <rPh sb="58" eb="60">
      <t>ヤキン</t>
    </rPh>
    <rPh sb="60" eb="62">
      <t>テアテ</t>
    </rPh>
    <rPh sb="63" eb="65">
      <t>キンガク</t>
    </rPh>
    <rPh sb="66" eb="68">
      <t>キニュウ</t>
    </rPh>
    <phoneticPr fontId="10"/>
  </si>
  <si>
    <t>また、年間休日日数を記入してください。</t>
    <rPh sb="3" eb="5">
      <t>ネンカン</t>
    </rPh>
    <rPh sb="5" eb="7">
      <t>キュウジツ</t>
    </rPh>
    <rPh sb="7" eb="9">
      <t>ニッスウ</t>
    </rPh>
    <rPh sb="10" eb="12">
      <t>キニュウ</t>
    </rPh>
    <phoneticPr fontId="10"/>
  </si>
  <si>
    <t>25.夜勤形態について</t>
    <rPh sb="3" eb="5">
      <t>ヤキン</t>
    </rPh>
    <rPh sb="5" eb="7">
      <t>ケイタイ</t>
    </rPh>
    <phoneticPr fontId="10"/>
  </si>
  <si>
    <t>算定する加算の区分</t>
    <rPh sb="0" eb="2">
      <t>サンテイ</t>
    </rPh>
    <rPh sb="4" eb="6">
      <t>カサン</t>
    </rPh>
    <rPh sb="7" eb="9">
      <t>クブン</t>
    </rPh>
    <phoneticPr fontId="10"/>
  </si>
  <si>
    <t>介護職員等特定処遇改善加算</t>
    <rPh sb="0" eb="2">
      <t>カイゴ</t>
    </rPh>
    <rPh sb="2" eb="4">
      <t>ショクイン</t>
    </rPh>
    <rPh sb="4" eb="5">
      <t>トウ</t>
    </rPh>
    <rPh sb="5" eb="7">
      <t>トクテイ</t>
    </rPh>
    <rPh sb="7" eb="9">
      <t>ショグウ</t>
    </rPh>
    <rPh sb="9" eb="11">
      <t>カイゼン</t>
    </rPh>
    <rPh sb="11" eb="13">
      <t>カサン</t>
    </rPh>
    <phoneticPr fontId="10"/>
  </si>
  <si>
    <t>・小規模事業所等で加算額全体が少額である</t>
    <rPh sb="1" eb="4">
      <t>ショウキボ</t>
    </rPh>
    <rPh sb="4" eb="8">
      <t>ジギョウショナド</t>
    </rPh>
    <rPh sb="9" eb="11">
      <t>カサン</t>
    </rPh>
    <rPh sb="11" eb="12">
      <t>ガク</t>
    </rPh>
    <rPh sb="12" eb="14">
      <t>ゼンタイ</t>
    </rPh>
    <rPh sb="15" eb="17">
      <t>ショウガク</t>
    </rPh>
    <phoneticPr fontId="10"/>
  </si>
  <si>
    <t>・8万円等の賃金改善を行うに当たり、これまで以上に事業所内の階層・役職やそのための能力・処遇を明確化することが必要になるため、規定の整備や研修・実務経験の蓄積などに一定期間を要する</t>
    <rPh sb="2" eb="5">
      <t>マンエンナド</t>
    </rPh>
    <rPh sb="6" eb="8">
      <t>チンギン</t>
    </rPh>
    <rPh sb="8" eb="10">
      <t>カイゼン</t>
    </rPh>
    <rPh sb="11" eb="12">
      <t>オコナ</t>
    </rPh>
    <rPh sb="14" eb="15">
      <t>ア</t>
    </rPh>
    <rPh sb="22" eb="24">
      <t>イジョウ</t>
    </rPh>
    <rPh sb="25" eb="28">
      <t>ジギョウショ</t>
    </rPh>
    <rPh sb="28" eb="29">
      <t>ナイ</t>
    </rPh>
    <rPh sb="30" eb="32">
      <t>カイソウ</t>
    </rPh>
    <rPh sb="33" eb="35">
      <t>ヤクショク</t>
    </rPh>
    <rPh sb="41" eb="43">
      <t>ノウリョク</t>
    </rPh>
    <rPh sb="44" eb="46">
      <t>ショグウ</t>
    </rPh>
    <rPh sb="47" eb="50">
      <t>メイカクカ</t>
    </rPh>
    <rPh sb="55" eb="57">
      <t>ヒツヨウ</t>
    </rPh>
    <rPh sb="63" eb="65">
      <t>キテイ</t>
    </rPh>
    <rPh sb="66" eb="68">
      <t>セイビ</t>
    </rPh>
    <rPh sb="69" eb="71">
      <t>ケンシュウ</t>
    </rPh>
    <rPh sb="72" eb="74">
      <t>ジツム</t>
    </rPh>
    <rPh sb="74" eb="76">
      <t>ケイケン</t>
    </rPh>
    <rPh sb="77" eb="79">
      <t>チクセキ</t>
    </rPh>
    <rPh sb="82" eb="84">
      <t>イッテイ</t>
    </rPh>
    <rPh sb="84" eb="86">
      <t>キカン</t>
    </rPh>
    <rPh sb="87" eb="88">
      <t>ヨウ</t>
    </rPh>
    <phoneticPr fontId="10"/>
  </si>
  <si>
    <t>・職員全体の賃金水準が低い事業所などで、直ちに一人の賃金を引き上げることが困難である</t>
    <rPh sb="1" eb="3">
      <t>ショクイン</t>
    </rPh>
    <rPh sb="3" eb="5">
      <t>ゼンタイ</t>
    </rPh>
    <rPh sb="6" eb="8">
      <t>チンギン</t>
    </rPh>
    <rPh sb="8" eb="10">
      <t>スイジュン</t>
    </rPh>
    <rPh sb="11" eb="12">
      <t>ヒク</t>
    </rPh>
    <rPh sb="13" eb="16">
      <t>ジギョウショ</t>
    </rPh>
    <rPh sb="20" eb="21">
      <t>タダ</t>
    </rPh>
    <rPh sb="23" eb="25">
      <t>ヒトリ</t>
    </rPh>
    <rPh sb="26" eb="28">
      <t>チンギン</t>
    </rPh>
    <rPh sb="29" eb="30">
      <t>ヒ</t>
    </rPh>
    <rPh sb="31" eb="32">
      <t>ア</t>
    </rPh>
    <rPh sb="37" eb="39">
      <t>コンナン</t>
    </rPh>
    <phoneticPr fontId="10"/>
  </si>
  <si>
    <t>18.介護職員等特定処遇改善加算の取得見込みについて</t>
    <rPh sb="3" eb="5">
      <t>カイゴ</t>
    </rPh>
    <rPh sb="5" eb="7">
      <t>ショクイン</t>
    </rPh>
    <rPh sb="7" eb="8">
      <t>ナド</t>
    </rPh>
    <rPh sb="8" eb="10">
      <t>トクテイ</t>
    </rPh>
    <rPh sb="10" eb="12">
      <t>ショグウ</t>
    </rPh>
    <rPh sb="12" eb="14">
      <t>カイゼン</t>
    </rPh>
    <rPh sb="14" eb="16">
      <t>カサン</t>
    </rPh>
    <rPh sb="17" eb="19">
      <t>シュトク</t>
    </rPh>
    <rPh sb="19" eb="21">
      <t>ミコ</t>
    </rPh>
    <phoneticPr fontId="10"/>
  </si>
  <si>
    <t>19.看取り介護加算の取得状況</t>
    <rPh sb="3" eb="5">
      <t>ミト</t>
    </rPh>
    <rPh sb="6" eb="8">
      <t>カイゴ</t>
    </rPh>
    <rPh sb="8" eb="10">
      <t>カサン</t>
    </rPh>
    <rPh sb="11" eb="13">
      <t>シュトク</t>
    </rPh>
    <rPh sb="13" eb="15">
      <t>ジョウキョウ</t>
    </rPh>
    <phoneticPr fontId="10"/>
  </si>
  <si>
    <t>年間平均（1ヶ月当り）の特養と併設（一体的運用）短期入所に関わる職員の実人数および常勤換算職員数をご記入ください。
また、各月の常勤換算職員数の把握が難しく年間平均（1ヶ月当り）の人数がわからない場合は、「2019年3月末時点」の特養と併設（一体的運用）短期入所に関わる職員の実人数および常勤換算職員数をご記入ください。</t>
    <rPh sb="29" eb="30">
      <t>カカ</t>
    </rPh>
    <rPh sb="32" eb="34">
      <t>ショクイン</t>
    </rPh>
    <rPh sb="35" eb="36">
      <t>ジツ</t>
    </rPh>
    <rPh sb="36" eb="38">
      <t>ニンズウ</t>
    </rPh>
    <rPh sb="110" eb="111">
      <t>マツ</t>
    </rPh>
    <phoneticPr fontId="10"/>
  </si>
  <si>
    <r>
      <t>可能な限り、</t>
    </r>
    <r>
      <rPr>
        <b/>
        <u/>
        <sz val="11"/>
        <color theme="1"/>
        <rFont val="ＭＳ Ｐ明朝"/>
        <family val="1"/>
        <charset val="128"/>
      </rPr>
      <t>「年間平均（1ヶ月当り）」で回答してください。</t>
    </r>
    <rPh sb="0" eb="2">
      <t>カノウ</t>
    </rPh>
    <rPh sb="3" eb="4">
      <t>カギ</t>
    </rPh>
    <rPh sb="20" eb="22">
      <t>カイトウ</t>
    </rPh>
    <phoneticPr fontId="10"/>
  </si>
  <si>
    <t>20.職員の実人数と常勤換算職員数</t>
    <rPh sb="3" eb="5">
      <t>ショクイン</t>
    </rPh>
    <rPh sb="6" eb="7">
      <t>ジツ</t>
    </rPh>
    <rPh sb="7" eb="9">
      <t>ニンズウ</t>
    </rPh>
    <phoneticPr fontId="10"/>
  </si>
  <si>
    <t>「21．委託費の内訳」の「1 派遣職員」に回答がある場合、職員配置の回答基準が「2019年3月末時点」で該当者がいない場合であっても、委託費相当の年間の「職員実数」および「常勤換算職員数」を回答してください。</t>
    <rPh sb="21" eb="23">
      <t>カイトウ</t>
    </rPh>
    <rPh sb="47" eb="48">
      <t>マツ</t>
    </rPh>
    <rPh sb="52" eb="55">
      <t>ガイトウシャ</t>
    </rPh>
    <rPh sb="59" eb="61">
      <t>バアイ</t>
    </rPh>
    <rPh sb="73" eb="75">
      <t>ネンカン</t>
    </rPh>
    <phoneticPr fontId="10"/>
  </si>
  <si>
    <t>21.委託費の内訳</t>
    <rPh sb="3" eb="5">
      <t>イタク</t>
    </rPh>
    <rPh sb="5" eb="6">
      <t>ヒ</t>
    </rPh>
    <rPh sb="7" eb="9">
      <t>ウチワケ</t>
    </rPh>
    <phoneticPr fontId="10"/>
  </si>
  <si>
    <t>※上記設問の「20．職員の実人数と常勤換算職員」の「派遣委託職員」の内、「実数」に対する一人当たり委託費（入力確認用）の金額をご確認ください</t>
    <rPh sb="1" eb="3">
      <t>ジョウキ</t>
    </rPh>
    <rPh sb="3" eb="5">
      <t>セツモン</t>
    </rPh>
    <rPh sb="10" eb="12">
      <t>ショクイン</t>
    </rPh>
    <rPh sb="13" eb="14">
      <t>ジツ</t>
    </rPh>
    <rPh sb="14" eb="16">
      <t>ニンズ</t>
    </rPh>
    <rPh sb="17" eb="19">
      <t>ジョウキン</t>
    </rPh>
    <rPh sb="19" eb="21">
      <t>カンサン</t>
    </rPh>
    <rPh sb="21" eb="23">
      <t>ショクイン</t>
    </rPh>
    <rPh sb="26" eb="28">
      <t>ハケン</t>
    </rPh>
    <rPh sb="28" eb="30">
      <t>イタク</t>
    </rPh>
    <rPh sb="30" eb="32">
      <t>ショクイン</t>
    </rPh>
    <rPh sb="34" eb="35">
      <t>ウチ</t>
    </rPh>
    <rPh sb="37" eb="39">
      <t>ジッスウ</t>
    </rPh>
    <rPh sb="41" eb="42">
      <t>タイ</t>
    </rPh>
    <rPh sb="44" eb="46">
      <t>ヒトリ</t>
    </rPh>
    <rPh sb="46" eb="47">
      <t>ア</t>
    </rPh>
    <rPh sb="49" eb="51">
      <t>イタク</t>
    </rPh>
    <rPh sb="51" eb="52">
      <t>ヒ</t>
    </rPh>
    <rPh sb="53" eb="55">
      <t>ニュウリョク</t>
    </rPh>
    <rPh sb="55" eb="58">
      <t>カクニンヨウ</t>
    </rPh>
    <rPh sb="60" eb="62">
      <t>キンガク</t>
    </rPh>
    <rPh sb="64" eb="66">
      <t>カクニン</t>
    </rPh>
    <phoneticPr fontId="10"/>
  </si>
  <si>
    <t>22.介護職員の実人数（性別・年齢別・勤続年数別）</t>
    <rPh sb="19" eb="21">
      <t>キンゾク</t>
    </rPh>
    <rPh sb="21" eb="23">
      <t>ネンスウ</t>
    </rPh>
    <rPh sb="23" eb="24">
      <t>ベツ</t>
    </rPh>
    <phoneticPr fontId="10"/>
  </si>
  <si>
    <t>23.外国人介護職員の受入状況</t>
    <rPh sb="3" eb="5">
      <t>ガイコク</t>
    </rPh>
    <rPh sb="5" eb="6">
      <t>ジン</t>
    </rPh>
    <rPh sb="6" eb="8">
      <t>カイゴ</t>
    </rPh>
    <rPh sb="8" eb="9">
      <t>ショク</t>
    </rPh>
    <rPh sb="9" eb="10">
      <t>イン</t>
    </rPh>
    <rPh sb="11" eb="12">
      <t>ウ</t>
    </rPh>
    <rPh sb="12" eb="13">
      <t>イ</t>
    </rPh>
    <rPh sb="13" eb="15">
      <t>ジョウキョウ</t>
    </rPh>
    <phoneticPr fontId="10"/>
  </si>
  <si>
    <t>25.正規介護職員の初任給（月額）</t>
    <rPh sb="3" eb="5">
      <t>セイキ</t>
    </rPh>
    <phoneticPr fontId="10"/>
  </si>
  <si>
    <t>26.非正規介護職員の時給</t>
    <rPh sb="3" eb="4">
      <t>ヒ</t>
    </rPh>
    <rPh sb="4" eb="6">
      <t>セイキ</t>
    </rPh>
    <rPh sb="6" eb="8">
      <t>カイゴ</t>
    </rPh>
    <phoneticPr fontId="10"/>
  </si>
  <si>
    <t>・その他（自由記述）</t>
    <rPh sb="3" eb="4">
      <t>タ</t>
    </rPh>
    <rPh sb="5" eb="7">
      <t>ジユウ</t>
    </rPh>
    <rPh sb="7" eb="9">
      <t>キジュツ</t>
    </rPh>
    <phoneticPr fontId="10"/>
  </si>
  <si>
    <t>「経験・技能のある介護職員」の基準</t>
    <phoneticPr fontId="10"/>
  </si>
  <si>
    <t>確認用</t>
    <rPh sb="0" eb="3">
      <t>カクニンヨウ</t>
    </rPh>
    <phoneticPr fontId="10"/>
  </si>
  <si>
    <t>特養定員に対する利用率100%
-8.年間利用者延べ人数</t>
    <rPh sb="0" eb="2">
      <t>トクヨウ</t>
    </rPh>
    <rPh sb="2" eb="4">
      <t>テイイン</t>
    </rPh>
    <rPh sb="5" eb="6">
      <t>タイ</t>
    </rPh>
    <rPh sb="8" eb="11">
      <t>リヨウリツ</t>
    </rPh>
    <rPh sb="19" eb="25">
      <t>ネンカンリヨウシャノ</t>
    </rPh>
    <rPh sb="26" eb="28">
      <t>ニンズウ</t>
    </rPh>
    <phoneticPr fontId="10"/>
  </si>
  <si>
    <t>名</t>
    <rPh sb="0" eb="1">
      <t>メイ</t>
    </rPh>
    <phoneticPr fontId="10"/>
  </si>
  <si>
    <t>=空床</t>
    <phoneticPr fontId="10"/>
  </si>
  <si>
    <t>本調査における施設の経営における特殊事情に関する備考欄（2018年4月1日～2019年3月31日）</t>
    <rPh sb="10" eb="12">
      <t>ケイエイ</t>
    </rPh>
    <rPh sb="32" eb="33">
      <t>ネン</t>
    </rPh>
    <rPh sb="34" eb="35">
      <t>ガツ</t>
    </rPh>
    <rPh sb="36" eb="37">
      <t>ニチ</t>
    </rPh>
    <rPh sb="42" eb="43">
      <t>ネン</t>
    </rPh>
    <rPh sb="44" eb="45">
      <t>ガツ</t>
    </rPh>
    <rPh sb="47" eb="48">
      <t>ニチ</t>
    </rPh>
    <phoneticPr fontId="10"/>
  </si>
  <si>
    <t>2019年3月31日時点の待機者数について回答してください。</t>
  </si>
  <si>
    <t>17.特養における加算の状況（2019年3月末時点）</t>
    <rPh sb="3" eb="5">
      <t>トクヨウ</t>
    </rPh>
    <phoneticPr fontId="10"/>
  </si>
  <si>
    <t>※2019年3月末時点の実数</t>
    <rPh sb="8" eb="9">
      <t>マツ</t>
    </rPh>
    <phoneticPr fontId="10"/>
  </si>
  <si>
    <t>2019年3月31日における年齢をご記入ください。月数は切り捨ててください。</t>
  </si>
  <si>
    <t>2019年3月31日時点での貴施設における勤続年数（入社月を含む）。なお、当該施設以前に同一法人の経営する事業所などに勤務していた場合は、そこでの勤続年数も含めて算出してください。また、現職と異なる職種であっても、処遇等の検討時に勤続年数を考慮している場合は、現職の勤続年数に含めてください。月数は切り捨ててください。</t>
    <rPh sb="10" eb="12">
      <t>ジテン</t>
    </rPh>
    <rPh sb="81" eb="83">
      <t>サンシュツ</t>
    </rPh>
    <phoneticPr fontId="10"/>
  </si>
  <si>
    <t>2019年3月31日時点で管理職である場合、「1」を選択してください。
（当設問における「管理職」の定義は、シート「設問解説」をご参照ください）。</t>
    <rPh sb="26" eb="28">
      <t>センタク</t>
    </rPh>
    <rPh sb="58" eb="60">
      <t>セツモン</t>
    </rPh>
    <rPh sb="60" eb="62">
      <t>カイセツ</t>
    </rPh>
    <phoneticPr fontId="10"/>
  </si>
  <si>
    <t>勤続年数ごとの対象者のうち、2019年4月の「本給」が中央値になる職員の状況をご記入ください。</t>
    <rPh sb="0" eb="2">
      <t>キンゾク</t>
    </rPh>
    <rPh sb="2" eb="4">
      <t>ネンスウ</t>
    </rPh>
    <rPh sb="7" eb="10">
      <t>タイショウシャ</t>
    </rPh>
    <rPh sb="20" eb="21">
      <t>ガツ</t>
    </rPh>
    <rPh sb="23" eb="25">
      <t>ホンキュウ</t>
    </rPh>
    <rPh sb="27" eb="29">
      <t>チュウオウ</t>
    </rPh>
    <rPh sb="29" eb="30">
      <t>アタイ</t>
    </rPh>
    <rPh sb="33" eb="35">
      <t>ショクイン</t>
    </rPh>
    <rPh sb="36" eb="38">
      <t>ジョウキョウ</t>
    </rPh>
    <rPh sb="40" eb="42">
      <t>キニュウ</t>
    </rPh>
    <phoneticPr fontId="10"/>
  </si>
  <si>
    <t>※2019年3月時末点の実数</t>
    <rPh sb="9" eb="10">
      <t>マツ</t>
    </rPh>
    <phoneticPr fontId="10"/>
  </si>
  <si>
    <t>2018年度の入所確認時（入所判定会議等）の受け入れ可否について回答してください。</t>
    <rPh sb="7" eb="9">
      <t>ニュウショ</t>
    </rPh>
    <rPh sb="9" eb="11">
      <t>カクニン</t>
    </rPh>
    <rPh sb="11" eb="12">
      <t>ジ</t>
    </rPh>
    <rPh sb="13" eb="15">
      <t>ニュウショ</t>
    </rPh>
    <rPh sb="15" eb="17">
      <t>ハンテイ</t>
    </rPh>
    <rPh sb="17" eb="19">
      <t>カイギ</t>
    </rPh>
    <rPh sb="19" eb="20">
      <t>ナド</t>
    </rPh>
    <rPh sb="22" eb="23">
      <t>ウ</t>
    </rPh>
    <rPh sb="24" eb="25">
      <t>イ</t>
    </rPh>
    <rPh sb="26" eb="28">
      <t>カヒ</t>
    </rPh>
    <rPh sb="32" eb="34">
      <t>カイトウ</t>
    </rPh>
    <phoneticPr fontId="10"/>
  </si>
  <si>
    <t>2018年度については、申請の有無ではなく、実際に請求を行った項目を回答してください。</t>
    <rPh sb="22" eb="24">
      <t>ジッサイ</t>
    </rPh>
    <rPh sb="34" eb="36">
      <t>カイトウ</t>
    </rPh>
    <phoneticPr fontId="10"/>
  </si>
  <si>
    <t>2018年度の貴施設の外国人介護職員の受入人数を記載してください。</t>
    <rPh sb="7" eb="8">
      <t>キ</t>
    </rPh>
    <rPh sb="8" eb="10">
      <t>シセツ</t>
    </rPh>
    <rPh sb="11" eb="13">
      <t>ガイコク</t>
    </rPh>
    <rPh sb="13" eb="14">
      <t>ジン</t>
    </rPh>
    <rPh sb="14" eb="16">
      <t>カイゴ</t>
    </rPh>
    <rPh sb="16" eb="18">
      <t>ショクイン</t>
    </rPh>
    <rPh sb="19" eb="20">
      <t>ウ</t>
    </rPh>
    <rPh sb="20" eb="21">
      <t>イ</t>
    </rPh>
    <rPh sb="21" eb="23">
      <t>ニンズウ</t>
    </rPh>
    <rPh sb="24" eb="26">
      <t>キサイ</t>
    </rPh>
    <phoneticPr fontId="10"/>
  </si>
  <si>
    <t>※2018年4月1日から2019年3月31日まで</t>
    <rPh sb="7" eb="8">
      <t>ガツ</t>
    </rPh>
    <rPh sb="9" eb="10">
      <t>ニチ</t>
    </rPh>
    <rPh sb="18" eb="19">
      <t>ガツ</t>
    </rPh>
    <rPh sb="21" eb="22">
      <t>ニチ</t>
    </rPh>
    <phoneticPr fontId="10"/>
  </si>
  <si>
    <t>該当する欄に職員の2018年度における採用・退職者数を入力してください。</t>
    <rPh sb="0" eb="2">
      <t>ガイトウ</t>
    </rPh>
    <rPh sb="4" eb="5">
      <t>ラン</t>
    </rPh>
    <rPh sb="6" eb="8">
      <t>ショクイン</t>
    </rPh>
    <rPh sb="19" eb="21">
      <t>サイヨウ</t>
    </rPh>
    <rPh sb="22" eb="25">
      <t>タイショクシャ</t>
    </rPh>
    <rPh sb="25" eb="26">
      <t>カズ</t>
    </rPh>
    <rPh sb="27" eb="29">
      <t>ニュウリョク</t>
    </rPh>
    <phoneticPr fontId="10"/>
  </si>
  <si>
    <t>27.正規介護職員における2018年4月と2019年4月の2か年の給与等の状況</t>
    <rPh sb="3" eb="5">
      <t>セイキ</t>
    </rPh>
    <rPh sb="5" eb="7">
      <t>カイゴ</t>
    </rPh>
    <rPh sb="7" eb="9">
      <t>ショクイン</t>
    </rPh>
    <rPh sb="19" eb="20">
      <t>ガツ</t>
    </rPh>
    <rPh sb="27" eb="28">
      <t>ガツ</t>
    </rPh>
    <rPh sb="31" eb="32">
      <t>ネン</t>
    </rPh>
    <rPh sb="33" eb="36">
      <t>キュウヨナド</t>
    </rPh>
    <rPh sb="37" eb="39">
      <t>ジョウキョウ</t>
    </rPh>
    <phoneticPr fontId="10"/>
  </si>
  <si>
    <t>勤続年数ごとの対象者のうち、2018年4月の「本給」が中央値になる職員の状況をご記入ください。</t>
    <rPh sb="0" eb="2">
      <t>キンゾク</t>
    </rPh>
    <rPh sb="2" eb="4">
      <t>ネンスウ</t>
    </rPh>
    <rPh sb="7" eb="10">
      <t>タイショウシャ</t>
    </rPh>
    <rPh sb="20" eb="21">
      <t>ガツ</t>
    </rPh>
    <rPh sb="23" eb="25">
      <t>ホンキュウ</t>
    </rPh>
    <rPh sb="27" eb="29">
      <t>チュウオウ</t>
    </rPh>
    <rPh sb="29" eb="30">
      <t>アタイ</t>
    </rPh>
    <rPh sb="33" eb="35">
      <t>ショクイン</t>
    </rPh>
    <rPh sb="36" eb="38">
      <t>ジョウキョウ</t>
    </rPh>
    <rPh sb="40" eb="42">
      <t>キニュウ</t>
    </rPh>
    <phoneticPr fontId="10"/>
  </si>
  <si>
    <t>2018年4月と2019年4月の2か年の本給（月給か、年俸の方は12で除した額）の金額をご記入ください。（当設問における「本給」とは、各種手当を除いた金額を指す）。</t>
    <rPh sb="6" eb="7">
      <t>ガツ</t>
    </rPh>
    <rPh sb="14" eb="15">
      <t>ガツ</t>
    </rPh>
    <rPh sb="18" eb="19">
      <t>ネン</t>
    </rPh>
    <rPh sb="20" eb="22">
      <t>ホンキュウ</t>
    </rPh>
    <phoneticPr fontId="10"/>
  </si>
  <si>
    <t>2018年4月と2019年4月の2か年の手当の金額（総額）をご記入ください。
なお、夜勤手当は回数、時間外手当は時間外勤務時間、資格手当は該当する資格名（複数該当する場合は、主業務に該当する資格とする）をそれぞれ回答してください。
また、「介護職員処遇改善加算」の賃金改善額を「処遇改善加算相当額」に回答してください。一時金として支給している場合は、12か月で除した1か月当たりの金額を回答してください。
上記以外の手当を支給している場合は、その他の手当に合算してご記入ください。</t>
    <rPh sb="14" eb="15">
      <t>ガツ</t>
    </rPh>
    <rPh sb="18" eb="19">
      <t>ネン</t>
    </rPh>
    <rPh sb="23" eb="25">
      <t>キンガク</t>
    </rPh>
    <rPh sb="26" eb="28">
      <t>ソウガク</t>
    </rPh>
    <rPh sb="42" eb="44">
      <t>ヤキン</t>
    </rPh>
    <rPh sb="44" eb="46">
      <t>テアテ</t>
    </rPh>
    <rPh sb="47" eb="49">
      <t>カイスウ</t>
    </rPh>
    <rPh sb="50" eb="53">
      <t>ジカンガイ</t>
    </rPh>
    <rPh sb="53" eb="55">
      <t>テアテ</t>
    </rPh>
    <rPh sb="56" eb="59">
      <t>ジカンガイ</t>
    </rPh>
    <rPh sb="59" eb="61">
      <t>キンム</t>
    </rPh>
    <rPh sb="61" eb="63">
      <t>ジカン</t>
    </rPh>
    <rPh sb="64" eb="66">
      <t>シカク</t>
    </rPh>
    <rPh sb="66" eb="68">
      <t>テアテ</t>
    </rPh>
    <rPh sb="69" eb="71">
      <t>ガイトウ</t>
    </rPh>
    <rPh sb="73" eb="75">
      <t>シカク</t>
    </rPh>
    <rPh sb="75" eb="76">
      <t>メイ</t>
    </rPh>
    <rPh sb="77" eb="79">
      <t>フクスウ</t>
    </rPh>
    <rPh sb="79" eb="81">
      <t>ガイトウ</t>
    </rPh>
    <rPh sb="83" eb="85">
      <t>バアイ</t>
    </rPh>
    <rPh sb="87" eb="90">
      <t>シュギョウム</t>
    </rPh>
    <rPh sb="91" eb="93">
      <t>ガイトウ</t>
    </rPh>
    <rPh sb="95" eb="97">
      <t>シカク</t>
    </rPh>
    <rPh sb="106" eb="108">
      <t>カイトウ</t>
    </rPh>
    <rPh sb="121" eb="123">
      <t>カイゴ</t>
    </rPh>
    <rPh sb="123" eb="125">
      <t>ショクイン</t>
    </rPh>
    <rPh sb="125" eb="127">
      <t>ショグウ</t>
    </rPh>
    <rPh sb="127" eb="129">
      <t>カイゼン</t>
    </rPh>
    <rPh sb="129" eb="131">
      <t>カサン</t>
    </rPh>
    <rPh sb="133" eb="135">
      <t>チンギン</t>
    </rPh>
    <rPh sb="135" eb="137">
      <t>カイゼン</t>
    </rPh>
    <rPh sb="137" eb="138">
      <t>ガク</t>
    </rPh>
    <rPh sb="140" eb="142">
      <t>ショグウ</t>
    </rPh>
    <rPh sb="142" eb="144">
      <t>カイゼン</t>
    </rPh>
    <rPh sb="144" eb="146">
      <t>カサン</t>
    </rPh>
    <rPh sb="146" eb="148">
      <t>ソウトウ</t>
    </rPh>
    <rPh sb="148" eb="149">
      <t>ガク</t>
    </rPh>
    <rPh sb="151" eb="153">
      <t>カイトウ</t>
    </rPh>
    <rPh sb="160" eb="163">
      <t>イチジキン</t>
    </rPh>
    <rPh sb="166" eb="168">
      <t>シキュウ</t>
    </rPh>
    <rPh sb="172" eb="174">
      <t>バアイ</t>
    </rPh>
    <rPh sb="179" eb="180">
      <t>ゲツ</t>
    </rPh>
    <rPh sb="181" eb="182">
      <t>ジョ</t>
    </rPh>
    <rPh sb="186" eb="187">
      <t>ゲツ</t>
    </rPh>
    <rPh sb="187" eb="188">
      <t>ア</t>
    </rPh>
    <rPh sb="191" eb="193">
      <t>キンガク</t>
    </rPh>
    <rPh sb="194" eb="196">
      <t>カイトウ</t>
    </rPh>
    <rPh sb="204" eb="206">
      <t>ジョウキ</t>
    </rPh>
    <rPh sb="206" eb="208">
      <t>イガイ</t>
    </rPh>
    <rPh sb="209" eb="211">
      <t>テアテ</t>
    </rPh>
    <rPh sb="212" eb="214">
      <t>シキュウ</t>
    </rPh>
    <rPh sb="218" eb="220">
      <t>バアイ</t>
    </rPh>
    <rPh sb="224" eb="225">
      <t>タ</t>
    </rPh>
    <rPh sb="226" eb="228">
      <t>テアテ</t>
    </rPh>
    <rPh sb="229" eb="231">
      <t>ガッサン</t>
    </rPh>
    <rPh sb="234" eb="236">
      <t>キニュウ</t>
    </rPh>
    <phoneticPr fontId="10"/>
  </si>
  <si>
    <t>2018年度（2018年4月1日から2019年3月31日まで）に支給された一時金（賞与・その他の臨時支給分（処遇改善加算分を含まない）の合計金額をご記入ください。一時金がない場合は、0（ゼロ）をご記入ください。</t>
    <rPh sb="52" eb="53">
      <t>ブン</t>
    </rPh>
    <rPh sb="54" eb="56">
      <t>ショグウ</t>
    </rPh>
    <rPh sb="56" eb="58">
      <t>カイゼン</t>
    </rPh>
    <rPh sb="58" eb="60">
      <t>カサン</t>
    </rPh>
    <rPh sb="60" eb="61">
      <t>ブン</t>
    </rPh>
    <rPh sb="62" eb="63">
      <t>フク</t>
    </rPh>
    <phoneticPr fontId="10"/>
  </si>
  <si>
    <t>※新卒者以外の中途採用者が回答対象の場合、2018年4月時点に不在（4月以降に採用）であれば、2019年度のみ回答してください。</t>
    <rPh sb="1" eb="3">
      <t>シンソツ</t>
    </rPh>
    <rPh sb="3" eb="4">
      <t>シャ</t>
    </rPh>
    <rPh sb="4" eb="6">
      <t>イガイ</t>
    </rPh>
    <rPh sb="7" eb="9">
      <t>チュウト</t>
    </rPh>
    <rPh sb="9" eb="11">
      <t>サイヨウ</t>
    </rPh>
    <rPh sb="11" eb="12">
      <t>シャ</t>
    </rPh>
    <rPh sb="13" eb="15">
      <t>カイトウ</t>
    </rPh>
    <rPh sb="15" eb="17">
      <t>タイショウ</t>
    </rPh>
    <rPh sb="18" eb="20">
      <t>バアイ</t>
    </rPh>
    <rPh sb="27" eb="28">
      <t>ガツ</t>
    </rPh>
    <rPh sb="28" eb="30">
      <t>ジテン</t>
    </rPh>
    <rPh sb="31" eb="33">
      <t>フザイ</t>
    </rPh>
    <rPh sb="35" eb="38">
      <t>ガツイコウ</t>
    </rPh>
    <rPh sb="39" eb="41">
      <t>サイヨウ</t>
    </rPh>
    <rPh sb="55" eb="57">
      <t>カイトウ</t>
    </rPh>
    <phoneticPr fontId="10"/>
  </si>
  <si>
    <t>2018年度決算書データ（事業活動計算書）</t>
    <rPh sb="6" eb="8">
      <t>ケッサン</t>
    </rPh>
    <rPh sb="8" eb="9">
      <t>ショ</t>
    </rPh>
    <rPh sb="13" eb="15">
      <t>ジギョウ</t>
    </rPh>
    <rPh sb="15" eb="17">
      <t>カツドウ</t>
    </rPh>
    <rPh sb="17" eb="20">
      <t>ケイサンショ</t>
    </rPh>
    <phoneticPr fontId="10"/>
  </si>
  <si>
    <t>2018年度決算書データ（貸借対照表）</t>
    <rPh sb="6" eb="8">
      <t>ケッサン</t>
    </rPh>
    <rPh sb="8" eb="9">
      <t>ショ</t>
    </rPh>
    <rPh sb="13" eb="15">
      <t>タイシャク</t>
    </rPh>
    <rPh sb="15" eb="18">
      <t>タイショウヒョウ</t>
    </rPh>
    <phoneticPr fontId="10"/>
  </si>
  <si>
    <t>2018年度決算書データ（資金収支計算書）</t>
    <rPh sb="6" eb="8">
      <t>ケッサン</t>
    </rPh>
    <rPh sb="8" eb="9">
      <t>ショ</t>
    </rPh>
    <rPh sb="13" eb="15">
      <t>シキン</t>
    </rPh>
    <rPh sb="15" eb="17">
      <t>シュウシ</t>
    </rPh>
    <rPh sb="17" eb="20">
      <t>ケイサンショ</t>
    </rPh>
    <phoneticPr fontId="10"/>
  </si>
  <si>
    <t>なお「①1年未満（勤続11か月）」以外、2018年・2019年ともに在籍している職員を対象とする（いずれかの4月時点に退職、休職、復職などによる在籍ていない職員は抽出対象から除外する）。</t>
    <rPh sb="5" eb="6">
      <t>ネン</t>
    </rPh>
    <rPh sb="6" eb="8">
      <t>ミマン</t>
    </rPh>
    <rPh sb="9" eb="11">
      <t>キンゾク</t>
    </rPh>
    <rPh sb="14" eb="15">
      <t>ゲツ</t>
    </rPh>
    <rPh sb="17" eb="19">
      <t>イガイ</t>
    </rPh>
    <rPh sb="24" eb="25">
      <t>ネン</t>
    </rPh>
    <rPh sb="30" eb="31">
      <t>ネン</t>
    </rPh>
    <rPh sb="34" eb="36">
      <t>ザイセキ</t>
    </rPh>
    <rPh sb="40" eb="42">
      <t>ショクイン</t>
    </rPh>
    <rPh sb="43" eb="45">
      <t>タイショウ</t>
    </rPh>
    <rPh sb="55" eb="56">
      <t>ガツ</t>
    </rPh>
    <rPh sb="56" eb="58">
      <t>ジテン</t>
    </rPh>
    <rPh sb="59" eb="61">
      <t>タイショク</t>
    </rPh>
    <rPh sb="62" eb="64">
      <t>キュウショク</t>
    </rPh>
    <rPh sb="65" eb="67">
      <t>フクショク</t>
    </rPh>
    <rPh sb="72" eb="74">
      <t>ザイセキ</t>
    </rPh>
    <rPh sb="78" eb="80">
      <t>ショクイン</t>
    </rPh>
    <rPh sb="81" eb="83">
      <t>チュウシュツ</t>
    </rPh>
    <rPh sb="83" eb="85">
      <t>タイショウ</t>
    </rPh>
    <rPh sb="87" eb="89">
      <t>ジョガイ</t>
    </rPh>
    <phoneticPr fontId="10"/>
  </si>
  <si>
    <t>2018年度（2018.4月）</t>
    <rPh sb="5" eb="6">
      <t>ド</t>
    </rPh>
    <rPh sb="13" eb="14">
      <t>ガツ</t>
    </rPh>
    <phoneticPr fontId="10"/>
  </si>
  <si>
    <t>2019年度（2019.4月）</t>
    <rPh sb="5" eb="6">
      <t>ド</t>
    </rPh>
    <rPh sb="13" eb="14">
      <t>ガツ</t>
    </rPh>
    <phoneticPr fontId="10"/>
  </si>
  <si>
    <t>2019 - 2018 増減差　
（入力確認用）</t>
    <rPh sb="12" eb="14">
      <t>ゾウゲン</t>
    </rPh>
    <rPh sb="14" eb="15">
      <t>サ</t>
    </rPh>
    <rPh sb="18" eb="20">
      <t>ニュウリョク</t>
    </rPh>
    <rPh sb="20" eb="23">
      <t>カクニンヨウ</t>
    </rPh>
    <phoneticPr fontId="10"/>
  </si>
  <si>
    <t>●</t>
    <phoneticPr fontId="10"/>
  </si>
  <si>
    <t>分配対象</t>
    <rPh sb="0" eb="2">
      <t>ブンパイ</t>
    </rPh>
    <rPh sb="2" eb="4">
      <t>タイショウ</t>
    </rPh>
    <phoneticPr fontId="10"/>
  </si>
  <si>
    <t>「経験・技能のある介護職員」の基準について、貴法人・施設の考え方を回答してください。</t>
    <rPh sb="22" eb="23">
      <t>キ</t>
    </rPh>
    <rPh sb="23" eb="25">
      <t>ホウジン</t>
    </rPh>
    <rPh sb="26" eb="28">
      <t>シセツ</t>
    </rPh>
    <rPh sb="29" eb="30">
      <t>カンガ</t>
    </rPh>
    <rPh sb="31" eb="32">
      <t>カタ</t>
    </rPh>
    <rPh sb="33" eb="35">
      <t>カイトウ</t>
    </rPh>
    <phoneticPr fontId="10"/>
  </si>
  <si>
    <t>・介護福祉士資格の有無</t>
    <rPh sb="1" eb="3">
      <t>カイゴ</t>
    </rPh>
    <rPh sb="3" eb="6">
      <t>フクシシ</t>
    </rPh>
    <rPh sb="6" eb="8">
      <t>シカク</t>
    </rPh>
    <rPh sb="9" eb="11">
      <t>ウム</t>
    </rPh>
    <phoneticPr fontId="10"/>
  </si>
  <si>
    <t>・勤続10年の捉え方</t>
    <rPh sb="1" eb="3">
      <t>キンゾク</t>
    </rPh>
    <rPh sb="5" eb="6">
      <t>ネン</t>
    </rPh>
    <rPh sb="7" eb="8">
      <t>トラ</t>
    </rPh>
    <rPh sb="9" eb="10">
      <t>カタ</t>
    </rPh>
    <phoneticPr fontId="10"/>
  </si>
  <si>
    <t>・上記以外に設定する
「経験・技能のある介護職員」
の基準について（自由記述）</t>
    <rPh sb="1" eb="3">
      <t>ジョウキ</t>
    </rPh>
    <rPh sb="3" eb="5">
      <t>イガイ</t>
    </rPh>
    <rPh sb="6" eb="8">
      <t>セッテイ</t>
    </rPh>
    <rPh sb="12" eb="14">
      <t>ケイケン</t>
    </rPh>
    <rPh sb="15" eb="17">
      <t>ギノウ</t>
    </rPh>
    <rPh sb="20" eb="22">
      <t>カイゴ</t>
    </rPh>
    <rPh sb="22" eb="24">
      <t>ショクイン</t>
    </rPh>
    <rPh sb="27" eb="29">
      <t>キジュン</t>
    </rPh>
    <rPh sb="34" eb="36">
      <t>ジユウ</t>
    </rPh>
    <rPh sb="36" eb="38">
      <t>キジュツ</t>
    </rPh>
    <phoneticPr fontId="10"/>
  </si>
  <si>
    <t>・他の介護職員（経験・技能のある介護職員を除く介護職員）</t>
    <rPh sb="1" eb="2">
      <t>タ</t>
    </rPh>
    <rPh sb="3" eb="5">
      <t>カイゴ</t>
    </rPh>
    <rPh sb="5" eb="7">
      <t>ショクイン</t>
    </rPh>
    <rPh sb="8" eb="10">
      <t>ケイケン</t>
    </rPh>
    <rPh sb="11" eb="13">
      <t>ギノウ</t>
    </rPh>
    <rPh sb="16" eb="18">
      <t>カイゴ</t>
    </rPh>
    <rPh sb="18" eb="20">
      <t>ショクイン</t>
    </rPh>
    <rPh sb="21" eb="22">
      <t>ノゾ</t>
    </rPh>
    <rPh sb="23" eb="25">
      <t>カイゴ</t>
    </rPh>
    <rPh sb="25" eb="27">
      <t>ショクイン</t>
    </rPh>
    <phoneticPr fontId="10"/>
  </si>
  <si>
    <t>・その他の職種（各専門職は正規・非正規問わず）</t>
    <rPh sb="3" eb="4">
      <t>タ</t>
    </rPh>
    <rPh sb="5" eb="7">
      <t>ショクシュ</t>
    </rPh>
    <rPh sb="8" eb="9">
      <t>カク</t>
    </rPh>
    <rPh sb="9" eb="11">
      <t>センモン</t>
    </rPh>
    <rPh sb="11" eb="12">
      <t>ショク</t>
    </rPh>
    <rPh sb="13" eb="15">
      <t>セイキ</t>
    </rPh>
    <rPh sb="16" eb="17">
      <t>ヒ</t>
    </rPh>
    <rPh sb="17" eb="19">
      <t>セイキ</t>
    </rPh>
    <rPh sb="19" eb="20">
      <t>ト</t>
    </rPh>
    <phoneticPr fontId="10"/>
  </si>
  <si>
    <t>・看護職員</t>
    <rPh sb="1" eb="3">
      <t>カンゴ</t>
    </rPh>
    <rPh sb="3" eb="5">
      <t>ショクイン</t>
    </rPh>
    <phoneticPr fontId="10"/>
  </si>
  <si>
    <t>・理学療法士,作業療法士,言語聴覚士</t>
    <rPh sb="1" eb="2">
      <t>リ</t>
    </rPh>
    <rPh sb="2" eb="3">
      <t>ガク</t>
    </rPh>
    <rPh sb="3" eb="6">
      <t>リョウホウシ</t>
    </rPh>
    <rPh sb="7" eb="9">
      <t>サギョウ</t>
    </rPh>
    <rPh sb="9" eb="12">
      <t>リョウホウシ</t>
    </rPh>
    <rPh sb="13" eb="18">
      <t>ゲンゴチョウカクシ</t>
    </rPh>
    <phoneticPr fontId="10"/>
  </si>
  <si>
    <t>・管理栄養士</t>
    <rPh sb="1" eb="3">
      <t>カンリ</t>
    </rPh>
    <rPh sb="3" eb="6">
      <t>エイヨウシ</t>
    </rPh>
    <phoneticPr fontId="10"/>
  </si>
  <si>
    <t>・生活相談員</t>
    <rPh sb="1" eb="3">
      <t>セイカツ</t>
    </rPh>
    <rPh sb="3" eb="6">
      <t>ソウダンイン</t>
    </rPh>
    <phoneticPr fontId="10"/>
  </si>
  <si>
    <t>・事務職</t>
    <rPh sb="1" eb="3">
      <t>ジム</t>
    </rPh>
    <rPh sb="3" eb="4">
      <t>ショク</t>
    </rPh>
    <phoneticPr fontId="10"/>
  </si>
  <si>
    <t>・調理職員</t>
    <rPh sb="1" eb="3">
      <t>チョウリ</t>
    </rPh>
    <rPh sb="3" eb="5">
      <t>ショクイン</t>
    </rPh>
    <phoneticPr fontId="10"/>
  </si>
  <si>
    <t>2019年10月からの「介護職員等特定処遇改善加算」の取得見込み（予定）について回答してください。</t>
    <rPh sb="4" eb="5">
      <t>ネン</t>
    </rPh>
    <rPh sb="7" eb="8">
      <t>ガツ</t>
    </rPh>
    <rPh sb="12" eb="14">
      <t>カイゴ</t>
    </rPh>
    <rPh sb="14" eb="16">
      <t>ショクイン</t>
    </rPh>
    <rPh sb="16" eb="17">
      <t>トウ</t>
    </rPh>
    <rPh sb="17" eb="19">
      <t>トクテイ</t>
    </rPh>
    <rPh sb="19" eb="21">
      <t>ショグウ</t>
    </rPh>
    <rPh sb="21" eb="23">
      <t>カイゼン</t>
    </rPh>
    <rPh sb="23" eb="25">
      <t>カサン</t>
    </rPh>
    <rPh sb="27" eb="29">
      <t>シュトク</t>
    </rPh>
    <rPh sb="29" eb="31">
      <t>ミコ</t>
    </rPh>
    <rPh sb="33" eb="35">
      <t>ヨテイ</t>
    </rPh>
    <rPh sb="40" eb="42">
      <t>カイトウ</t>
    </rPh>
    <phoneticPr fontId="10"/>
  </si>
  <si>
    <t>1.施設の方針の明確化</t>
    <rPh sb="2" eb="4">
      <t>シセツ</t>
    </rPh>
    <rPh sb="5" eb="7">
      <t>ホウシン</t>
    </rPh>
    <rPh sb="8" eb="11">
      <t>メイカクカ</t>
    </rPh>
    <phoneticPr fontId="10"/>
  </si>
  <si>
    <t>2.居室等の環境整備</t>
    <rPh sb="2" eb="5">
      <t>キョシツナド</t>
    </rPh>
    <rPh sb="6" eb="8">
      <t>カンキョウ</t>
    </rPh>
    <rPh sb="8" eb="10">
      <t>セイビ</t>
    </rPh>
    <phoneticPr fontId="10"/>
  </si>
  <si>
    <t>3.配置医との関係強化</t>
    <rPh sb="2" eb="4">
      <t>ハイチ</t>
    </rPh>
    <rPh sb="4" eb="5">
      <t>イ</t>
    </rPh>
    <rPh sb="7" eb="9">
      <t>カンケイ</t>
    </rPh>
    <rPh sb="9" eb="11">
      <t>キョウカ</t>
    </rPh>
    <phoneticPr fontId="10"/>
  </si>
  <si>
    <t>4.病院との関係強化</t>
    <rPh sb="2" eb="4">
      <t>ビョウイン</t>
    </rPh>
    <rPh sb="6" eb="8">
      <t>カンケイ</t>
    </rPh>
    <rPh sb="8" eb="10">
      <t>キョウカ</t>
    </rPh>
    <phoneticPr fontId="10"/>
  </si>
  <si>
    <t>5.看護職員の増員</t>
    <rPh sb="2" eb="4">
      <t>カンゴ</t>
    </rPh>
    <rPh sb="4" eb="6">
      <t>ショクイン</t>
    </rPh>
    <rPh sb="7" eb="9">
      <t>ゾウイン</t>
    </rPh>
    <phoneticPr fontId="10"/>
  </si>
  <si>
    <t>6.介護職員の増員</t>
    <rPh sb="2" eb="4">
      <t>カイゴ</t>
    </rPh>
    <rPh sb="4" eb="6">
      <t>ショクイン</t>
    </rPh>
    <rPh sb="7" eb="9">
      <t>ゾウイン</t>
    </rPh>
    <phoneticPr fontId="10"/>
  </si>
  <si>
    <t>7.夜間、休日の職員体制の充実</t>
    <rPh sb="2" eb="4">
      <t>ヤカン</t>
    </rPh>
    <rPh sb="5" eb="7">
      <t>キュウジツ</t>
    </rPh>
    <rPh sb="8" eb="10">
      <t>ショクイン</t>
    </rPh>
    <rPh sb="10" eb="12">
      <t>タイセイ</t>
    </rPh>
    <rPh sb="13" eb="15">
      <t>ジュウジツ</t>
    </rPh>
    <phoneticPr fontId="10"/>
  </si>
  <si>
    <t>8.職員の協調</t>
    <rPh sb="2" eb="4">
      <t>ショクイン</t>
    </rPh>
    <rPh sb="5" eb="7">
      <t>キョウチョウ</t>
    </rPh>
    <phoneticPr fontId="10"/>
  </si>
  <si>
    <t>9.看護職員の知識・技術の向上</t>
    <rPh sb="2" eb="4">
      <t>カンゴ</t>
    </rPh>
    <rPh sb="4" eb="6">
      <t>ショクイン</t>
    </rPh>
    <rPh sb="7" eb="9">
      <t>チシキ</t>
    </rPh>
    <rPh sb="10" eb="12">
      <t>ギジュツ</t>
    </rPh>
    <rPh sb="13" eb="15">
      <t>コウジョウ</t>
    </rPh>
    <phoneticPr fontId="10"/>
  </si>
  <si>
    <t>10.介護職員の知識・技術の向上</t>
    <rPh sb="3" eb="5">
      <t>カイゴ</t>
    </rPh>
    <rPh sb="5" eb="7">
      <t>ショクイン</t>
    </rPh>
    <rPh sb="8" eb="10">
      <t>チシキ</t>
    </rPh>
    <rPh sb="11" eb="13">
      <t>ギジュツ</t>
    </rPh>
    <rPh sb="14" eb="16">
      <t>コウジョウ</t>
    </rPh>
    <phoneticPr fontId="10"/>
  </si>
  <si>
    <t>11.職員のグリーフケア</t>
    <rPh sb="3" eb="5">
      <t>ショクイン</t>
    </rPh>
    <phoneticPr fontId="10"/>
  </si>
  <si>
    <t>12.家族へのケア</t>
    <rPh sb="3" eb="5">
      <t>カゾク</t>
    </rPh>
    <phoneticPr fontId="10"/>
  </si>
  <si>
    <t>13.その他（自由記述）</t>
    <rPh sb="5" eb="6">
      <t>タ</t>
    </rPh>
    <rPh sb="7" eb="11">
      <t>ジユウキジュツ</t>
    </rPh>
    <phoneticPr fontId="10"/>
  </si>
  <si>
    <t>賃金改善を行う
賃金項目
（複数回答可）</t>
    <rPh sb="14" eb="16">
      <t>フクスウ</t>
    </rPh>
    <rPh sb="16" eb="18">
      <t>カイトウ</t>
    </rPh>
    <rPh sb="18" eb="19">
      <t>カ</t>
    </rPh>
    <phoneticPr fontId="10"/>
  </si>
  <si>
    <t>「介護職等特定処遇改善加算」の支給対象となるグループ・職種、賃金項目に「1」を選択してください。</t>
    <rPh sb="1" eb="3">
      <t>カイゴ</t>
    </rPh>
    <rPh sb="3" eb="4">
      <t>ショク</t>
    </rPh>
    <rPh sb="4" eb="5">
      <t>トウ</t>
    </rPh>
    <rPh sb="5" eb="7">
      <t>トクテイ</t>
    </rPh>
    <rPh sb="7" eb="9">
      <t>ショグウ</t>
    </rPh>
    <rPh sb="9" eb="11">
      <t>カイゼン</t>
    </rPh>
    <rPh sb="11" eb="13">
      <t>カサン</t>
    </rPh>
    <rPh sb="15" eb="17">
      <t>シキュウ</t>
    </rPh>
    <rPh sb="17" eb="19">
      <t>タイショウ</t>
    </rPh>
    <rPh sb="27" eb="29">
      <t>ショクシュ</t>
    </rPh>
    <rPh sb="30" eb="32">
      <t>チンギン</t>
    </rPh>
    <rPh sb="32" eb="34">
      <t>コウモク</t>
    </rPh>
    <rPh sb="39" eb="41">
      <t>センタク</t>
    </rPh>
    <phoneticPr fontId="10"/>
  </si>
  <si>
    <t>貴施設の看取りの方針について</t>
    <rPh sb="0" eb="1">
      <t>キ</t>
    </rPh>
    <rPh sb="1" eb="3">
      <t>シセツ</t>
    </rPh>
    <rPh sb="4" eb="6">
      <t>ミト</t>
    </rPh>
    <rPh sb="8" eb="10">
      <t>ホウシン</t>
    </rPh>
    <phoneticPr fontId="10"/>
  </si>
  <si>
    <t>1.希望があれば、施設内で看取るようにしている</t>
    <rPh sb="2" eb="4">
      <t>キボウ</t>
    </rPh>
    <rPh sb="9" eb="11">
      <t>シセツ</t>
    </rPh>
    <rPh sb="11" eb="12">
      <t>ナイ</t>
    </rPh>
    <rPh sb="13" eb="15">
      <t>ミト</t>
    </rPh>
    <phoneticPr fontId="10"/>
  </si>
  <si>
    <t>2.原則、病院などに移すようにしている</t>
    <rPh sb="2" eb="4">
      <t>ゲンソク</t>
    </rPh>
    <rPh sb="5" eb="7">
      <t>ビョウイン</t>
    </rPh>
    <rPh sb="10" eb="11">
      <t>ウツ</t>
    </rPh>
    <phoneticPr fontId="10"/>
  </si>
  <si>
    <t>3.原則、自宅に帰すようにしている</t>
    <rPh sb="2" eb="4">
      <t>ゲンソク</t>
    </rPh>
    <rPh sb="5" eb="7">
      <t>ジタク</t>
    </rPh>
    <rPh sb="8" eb="9">
      <t>カエ</t>
    </rPh>
    <phoneticPr fontId="10"/>
  </si>
  <si>
    <t>4.その他</t>
    <rPh sb="4" eb="5">
      <t>タ</t>
    </rPh>
    <phoneticPr fontId="10"/>
  </si>
  <si>
    <t>看取りにおける課題</t>
    <rPh sb="0" eb="2">
      <t>ミト</t>
    </rPh>
    <rPh sb="7" eb="9">
      <t>カダイ</t>
    </rPh>
    <phoneticPr fontId="10"/>
  </si>
  <si>
    <t>看取り介護を行う上での課題について、該当するものについて「1」を選択してください（複数回答可）。</t>
    <phoneticPr fontId="10"/>
  </si>
  <si>
    <t>貴施設の看取りの方針について、該当する方針を選択してください。</t>
    <rPh sb="0" eb="1">
      <t>キ</t>
    </rPh>
    <rPh sb="1" eb="3">
      <t>シセツ</t>
    </rPh>
    <rPh sb="4" eb="6">
      <t>ミト</t>
    </rPh>
    <rPh sb="8" eb="10">
      <t>ホウシン</t>
    </rPh>
    <rPh sb="15" eb="17">
      <t>ガイトウ</t>
    </rPh>
    <rPh sb="19" eb="21">
      <t>ホウシン</t>
    </rPh>
    <rPh sb="22" eb="24">
      <t>センタク</t>
    </rPh>
    <phoneticPr fontId="10"/>
  </si>
  <si>
    <t>その他（自由記述）</t>
    <rPh sb="2" eb="3">
      <t>タ</t>
    </rPh>
    <rPh sb="4" eb="8">
      <t>ジユウキジュツ</t>
    </rPh>
    <phoneticPr fontId="10"/>
  </si>
  <si>
    <t>16.再取得に必要な財産（社会福祉充実残額）</t>
    <rPh sb="3" eb="6">
      <t>サイシュトク</t>
    </rPh>
    <rPh sb="7" eb="9">
      <t>ヒツヨウ</t>
    </rPh>
    <rPh sb="10" eb="12">
      <t>ザイサン</t>
    </rPh>
    <rPh sb="13" eb="15">
      <t>シャカイ</t>
    </rPh>
    <rPh sb="15" eb="17">
      <t>フクシ</t>
    </rPh>
    <rPh sb="17" eb="19">
      <t>ジュウジツ</t>
    </rPh>
    <rPh sb="19" eb="21">
      <t>ザンガク</t>
    </rPh>
    <phoneticPr fontId="10"/>
  </si>
  <si>
    <t>本調査における対象拠点</t>
    <rPh sb="0" eb="3">
      <t>ホンチョウサ</t>
    </rPh>
    <rPh sb="7" eb="9">
      <t>タイショウ</t>
    </rPh>
    <rPh sb="9" eb="11">
      <t>キョテン</t>
    </rPh>
    <phoneticPr fontId="10"/>
  </si>
  <si>
    <t>将来の
建替費用</t>
    <rPh sb="0" eb="2">
      <t>ショウライ</t>
    </rPh>
    <rPh sb="4" eb="5">
      <t>タ</t>
    </rPh>
    <rPh sb="5" eb="6">
      <t>カ</t>
    </rPh>
    <rPh sb="6" eb="8">
      <t>ヒヨウ</t>
    </rPh>
    <phoneticPr fontId="10"/>
  </si>
  <si>
    <t>大規模修繕に
必要な費用</t>
    <rPh sb="0" eb="3">
      <t>ダイキボ</t>
    </rPh>
    <rPh sb="3" eb="5">
      <t>シュウゼン</t>
    </rPh>
    <rPh sb="7" eb="9">
      <t>ヒツヨウ</t>
    </rPh>
    <rPh sb="10" eb="12">
      <t>ヒヨウ</t>
    </rPh>
    <phoneticPr fontId="10"/>
  </si>
  <si>
    <t>設備・車輌等の更新に必要な費用</t>
    <rPh sb="0" eb="2">
      <t>セツビ</t>
    </rPh>
    <rPh sb="3" eb="5">
      <t>シャリョウ</t>
    </rPh>
    <rPh sb="5" eb="6">
      <t>ナド</t>
    </rPh>
    <rPh sb="7" eb="9">
      <t>コウシン</t>
    </rPh>
    <rPh sb="10" eb="12">
      <t>ヒツヨウ</t>
    </rPh>
    <rPh sb="13" eb="15">
      <t>ヒヨウ</t>
    </rPh>
    <phoneticPr fontId="10"/>
  </si>
  <si>
    <t>●</t>
    <phoneticPr fontId="10"/>
  </si>
  <si>
    <r>
      <t>「財務諸表等入力シート」の「社会福祉充実残額算定シート」内にある、「再取得に必要な財産」から本調査における</t>
    </r>
    <r>
      <rPr>
        <b/>
        <sz val="11"/>
        <color rgb="FFFF0000"/>
        <rFont val="ＭＳ Ｐ明朝"/>
        <family val="1"/>
        <charset val="128"/>
      </rPr>
      <t>対象拠点</t>
    </r>
    <r>
      <rPr>
        <sz val="11"/>
        <rFont val="ＭＳ Ｐ明朝"/>
        <family val="1"/>
        <charset val="128"/>
      </rPr>
      <t>の各数値を回答してください。</t>
    </r>
    <rPh sb="1" eb="3">
      <t>ザイム</t>
    </rPh>
    <rPh sb="3" eb="5">
      <t>ショヒョウ</t>
    </rPh>
    <rPh sb="5" eb="6">
      <t>トウ</t>
    </rPh>
    <rPh sb="6" eb="8">
      <t>ニュウリョク</t>
    </rPh>
    <rPh sb="14" eb="22">
      <t>シャカイフクシジュウジツザンガク</t>
    </rPh>
    <rPh sb="22" eb="24">
      <t>サンテイ</t>
    </rPh>
    <rPh sb="28" eb="29">
      <t>ナイ</t>
    </rPh>
    <rPh sb="34" eb="37">
      <t>サイシュトク</t>
    </rPh>
    <rPh sb="38" eb="40">
      <t>ヒツヨウ</t>
    </rPh>
    <rPh sb="41" eb="43">
      <t>ザイサン</t>
    </rPh>
    <rPh sb="46" eb="49">
      <t>ホンチョウサ</t>
    </rPh>
    <rPh sb="53" eb="55">
      <t>タイショウ</t>
    </rPh>
    <rPh sb="55" eb="57">
      <t>キョテン</t>
    </rPh>
    <rPh sb="58" eb="61">
      <t>カクスウチ</t>
    </rPh>
    <rPh sb="62" eb="64">
      <t>カイトウ</t>
    </rPh>
    <phoneticPr fontId="10"/>
  </si>
  <si>
    <t>人数（空きベッド数）</t>
    <rPh sb="0" eb="2">
      <t>ニンズウ</t>
    </rPh>
    <rPh sb="3" eb="4">
      <t>ア</t>
    </rPh>
    <rPh sb="8" eb="9">
      <t>スウ</t>
    </rPh>
    <phoneticPr fontId="10"/>
  </si>
  <si>
    <t>空床の理由</t>
    <rPh sb="0" eb="1">
      <t>クウ</t>
    </rPh>
    <rPh sb="1" eb="2">
      <t>ユカ</t>
    </rPh>
    <rPh sb="3" eb="5">
      <t>リユウ</t>
    </rPh>
    <phoneticPr fontId="10"/>
  </si>
  <si>
    <t>名</t>
    <rPh sb="0" eb="1">
      <t>メイ</t>
    </rPh>
    <phoneticPr fontId="10"/>
  </si>
  <si>
    <t>合計</t>
    <rPh sb="0" eb="2">
      <t>ゴウケイ</t>
    </rPh>
    <phoneticPr fontId="10"/>
  </si>
  <si>
    <t>※一致していなくても、近似値（近しい数値）になるよう人数を回答してください。合計と上記数値を確認してください。</t>
    <rPh sb="1" eb="3">
      <t>イッチ</t>
    </rPh>
    <rPh sb="11" eb="14">
      <t>キンジチ</t>
    </rPh>
    <rPh sb="15" eb="16">
      <t>チカ</t>
    </rPh>
    <rPh sb="18" eb="20">
      <t>スウチ</t>
    </rPh>
    <rPh sb="26" eb="28">
      <t>ニンズウ</t>
    </rPh>
    <rPh sb="29" eb="31">
      <t>カイトウ</t>
    </rPh>
    <rPh sb="38" eb="40">
      <t>ゴウケイ</t>
    </rPh>
    <rPh sb="41" eb="43">
      <t>ジョウキ</t>
    </rPh>
    <rPh sb="43" eb="45">
      <t>スウチ</t>
    </rPh>
    <rPh sb="46" eb="48">
      <t>カクニン</t>
    </rPh>
    <phoneticPr fontId="10"/>
  </si>
  <si>
    <t>設定できない理由</t>
    <rPh sb="0" eb="2">
      <t>セッテイ</t>
    </rPh>
    <rPh sb="6" eb="8">
      <t>リユウ</t>
    </rPh>
    <phoneticPr fontId="10"/>
  </si>
  <si>
    <t>外国人技能実習生</t>
    <rPh sb="0" eb="2">
      <t>ガイコク</t>
    </rPh>
    <rPh sb="2" eb="3">
      <t>ジン</t>
    </rPh>
    <rPh sb="3" eb="5">
      <t>ギノウ</t>
    </rPh>
    <rPh sb="5" eb="8">
      <t>ジッシュウセイ</t>
    </rPh>
    <phoneticPr fontId="10"/>
  </si>
  <si>
    <t>合計（名）</t>
    <rPh sb="0" eb="2">
      <t>ゴウケイ</t>
    </rPh>
    <phoneticPr fontId="10"/>
  </si>
  <si>
    <t>事業明細</t>
    <rPh sb="0" eb="2">
      <t>ジギョウ</t>
    </rPh>
    <rPh sb="2" eb="4">
      <t>メイサイ</t>
    </rPh>
    <phoneticPr fontId="50"/>
  </si>
  <si>
    <t>資金明細</t>
    <rPh sb="0" eb="2">
      <t>シキン</t>
    </rPh>
    <rPh sb="2" eb="4">
      <t>メイサイ</t>
    </rPh>
    <phoneticPr fontId="50"/>
  </si>
  <si>
    <t>本調査における対象拠点のみ読み込んでください。</t>
    <rPh sb="13" eb="14">
      <t>ヨ</t>
    </rPh>
    <rPh sb="15" eb="16">
      <t>コ</t>
    </rPh>
    <phoneticPr fontId="10"/>
  </si>
  <si>
    <t>短期入所</t>
    <rPh sb="0" eb="2">
      <t>タンキ</t>
    </rPh>
    <rPh sb="2" eb="4">
      <t>ニュウショ</t>
    </rPh>
    <phoneticPr fontId="10"/>
  </si>
  <si>
    <t>当年度末</t>
    <phoneticPr fontId="50"/>
  </si>
  <si>
    <t>貸借</t>
    <phoneticPr fontId="50"/>
  </si>
  <si>
    <t>四様式</t>
    <phoneticPr fontId="10"/>
  </si>
  <si>
    <t>（</t>
    <phoneticPr fontId="10"/>
  </si>
  <si>
    <t>）</t>
    <phoneticPr fontId="10"/>
  </si>
  <si>
    <t>当期資金収支差額合計（１０）＝（３）＋（６）＋（９）</t>
    <phoneticPr fontId="10"/>
  </si>
  <si>
    <t>前期末支払資金残高（１１）</t>
    <phoneticPr fontId="10"/>
  </si>
  <si>
    <t>当期末支払資金残高（１０）＋（１１）</t>
    <phoneticPr fontId="10"/>
  </si>
  <si>
    <t>追加</t>
    <rPh sb="0" eb="2">
      <t>ツイカ</t>
    </rPh>
    <phoneticPr fontId="27"/>
  </si>
  <si>
    <t>合計</t>
    <rPh sb="0" eb="2">
      <t>ゴウケイ</t>
    </rPh>
    <phoneticPr fontId="27"/>
  </si>
  <si>
    <t>設問変更</t>
    <rPh sb="0" eb="2">
      <t>セツモン</t>
    </rPh>
    <rPh sb="2" eb="4">
      <t>ヘンコウ</t>
    </rPh>
    <phoneticPr fontId="27"/>
  </si>
  <si>
    <t>１６．再取得に必要な財産_将来の建替費用</t>
    <rPh sb="3" eb="6">
      <t>サイシュトク</t>
    </rPh>
    <rPh sb="7" eb="9">
      <t>ヒツヨウ</t>
    </rPh>
    <rPh sb="10" eb="12">
      <t>ザイサン</t>
    </rPh>
    <rPh sb="13" eb="15">
      <t>ショウライ</t>
    </rPh>
    <rPh sb="16" eb="17">
      <t>タ</t>
    </rPh>
    <rPh sb="17" eb="18">
      <t>カ</t>
    </rPh>
    <rPh sb="18" eb="20">
      <t>ヒヨウ</t>
    </rPh>
    <phoneticPr fontId="27"/>
  </si>
  <si>
    <t>　　再取得に必要な財産_合計</t>
    <rPh sb="2" eb="5">
      <t>サイシュトク</t>
    </rPh>
    <rPh sb="6" eb="8">
      <t>ヒツヨウ</t>
    </rPh>
    <rPh sb="9" eb="11">
      <t>ザイサン</t>
    </rPh>
    <rPh sb="12" eb="14">
      <t>ゴウケイ</t>
    </rPh>
    <phoneticPr fontId="27"/>
  </si>
  <si>
    <t>　　再取得に必要な財産_設備・車両等の更新に必要な費用</t>
    <rPh sb="2" eb="5">
      <t>サイシュトク</t>
    </rPh>
    <rPh sb="6" eb="8">
      <t>ヒツヨウ</t>
    </rPh>
    <rPh sb="9" eb="11">
      <t>ザイサン</t>
    </rPh>
    <rPh sb="12" eb="14">
      <t>セツビ</t>
    </rPh>
    <rPh sb="15" eb="18">
      <t>シャリョウナド</t>
    </rPh>
    <rPh sb="19" eb="21">
      <t>コウシン</t>
    </rPh>
    <rPh sb="22" eb="24">
      <t>ヒツヨウ</t>
    </rPh>
    <rPh sb="25" eb="27">
      <t>ヒヨウ</t>
    </rPh>
    <phoneticPr fontId="27"/>
  </si>
  <si>
    <t>　　再取得に必要な財産_大規模修繕に必要な費用</t>
    <rPh sb="2" eb="5">
      <t>サイシュトク</t>
    </rPh>
    <rPh sb="6" eb="8">
      <t>ヒツヨウ</t>
    </rPh>
    <rPh sb="9" eb="11">
      <t>ザイサン</t>
    </rPh>
    <rPh sb="12" eb="15">
      <t>ダイキボ</t>
    </rPh>
    <rPh sb="15" eb="17">
      <t>シュウゼン</t>
    </rPh>
    <rPh sb="18" eb="20">
      <t>ヒツヨウ</t>
    </rPh>
    <rPh sb="21" eb="23">
      <t>ヒヨウ</t>
    </rPh>
    <phoneticPr fontId="27"/>
  </si>
  <si>
    <t>名称変更</t>
    <rPh sb="0" eb="2">
      <t>メイショウ</t>
    </rPh>
    <rPh sb="2" eb="4">
      <t>ヘンコウ</t>
    </rPh>
    <phoneticPr fontId="27"/>
  </si>
  <si>
    <t xml:space="preserve">H30_経口移行_加算                               </t>
    <rPh sb="9" eb="11">
      <t>カサン</t>
    </rPh>
    <phoneticPr fontId="27"/>
  </si>
  <si>
    <t xml:space="preserve">H30_経口維持_加算   </t>
  </si>
  <si>
    <t>１８．特定処遇改善加算の取得状況　算定する加算の区分</t>
    <rPh sb="3" eb="5">
      <t>トクテイ</t>
    </rPh>
    <rPh sb="5" eb="7">
      <t>ショグウ</t>
    </rPh>
    <rPh sb="7" eb="9">
      <t>カイゼン</t>
    </rPh>
    <rPh sb="9" eb="11">
      <t>カサン</t>
    </rPh>
    <rPh sb="17" eb="19">
      <t>サンテイ</t>
    </rPh>
    <rPh sb="21" eb="23">
      <t>カサン</t>
    </rPh>
    <rPh sb="24" eb="26">
      <t>クブン</t>
    </rPh>
    <phoneticPr fontId="27"/>
  </si>
  <si>
    <t>「経験・技能のある介護職員」_介護福祉士</t>
    <rPh sb="1" eb="3">
      <t>ケイケン</t>
    </rPh>
    <rPh sb="4" eb="6">
      <t>ギノウ</t>
    </rPh>
    <rPh sb="9" eb="11">
      <t>カイゴ</t>
    </rPh>
    <rPh sb="11" eb="13">
      <t>ショクイン</t>
    </rPh>
    <rPh sb="15" eb="17">
      <t>カイゴ</t>
    </rPh>
    <rPh sb="17" eb="20">
      <t>フクシシ</t>
    </rPh>
    <phoneticPr fontId="27"/>
  </si>
  <si>
    <t>「経験・技能のある介護職員」_勤続10年</t>
    <rPh sb="1" eb="3">
      <t>ケイケン</t>
    </rPh>
    <rPh sb="4" eb="6">
      <t>ギノウ</t>
    </rPh>
    <rPh sb="9" eb="11">
      <t>カイゴ</t>
    </rPh>
    <rPh sb="11" eb="13">
      <t>ショクイン</t>
    </rPh>
    <rPh sb="15" eb="17">
      <t>キンゾク</t>
    </rPh>
    <rPh sb="19" eb="20">
      <t>ネン</t>
    </rPh>
    <phoneticPr fontId="27"/>
  </si>
  <si>
    <t>「経験・技能のある介護職員」_上記以外（自由記述）</t>
    <rPh sb="1" eb="3">
      <t>ケイケン</t>
    </rPh>
    <rPh sb="4" eb="6">
      <t>ギノウ</t>
    </rPh>
    <rPh sb="9" eb="11">
      <t>カイゴ</t>
    </rPh>
    <rPh sb="11" eb="13">
      <t>ショクイン</t>
    </rPh>
    <rPh sb="15" eb="17">
      <t>ジョウキ</t>
    </rPh>
    <rPh sb="17" eb="19">
      <t>イガイ</t>
    </rPh>
    <rPh sb="20" eb="22">
      <t>ジユウ</t>
    </rPh>
    <rPh sb="22" eb="24">
      <t>キジュツ</t>
    </rPh>
    <phoneticPr fontId="27"/>
  </si>
  <si>
    <t>設問変更</t>
    <rPh sb="0" eb="2">
      <t>セツモン</t>
    </rPh>
    <rPh sb="2" eb="4">
      <t>ヘンコウ</t>
    </rPh>
    <phoneticPr fontId="27"/>
  </si>
  <si>
    <t>設定できない理由_少額</t>
    <rPh sb="0" eb="2">
      <t>セッテイ</t>
    </rPh>
    <rPh sb="6" eb="8">
      <t>リユウ</t>
    </rPh>
    <rPh sb="9" eb="11">
      <t>ショウガク</t>
    </rPh>
    <phoneticPr fontId="27"/>
  </si>
  <si>
    <t>設定できない理由_賃金水準が低い</t>
    <rPh sb="0" eb="2">
      <t>セッテイ</t>
    </rPh>
    <rPh sb="6" eb="8">
      <t>リユウ</t>
    </rPh>
    <rPh sb="9" eb="13">
      <t>チンギンスイジュン</t>
    </rPh>
    <rPh sb="14" eb="15">
      <t>ヒク</t>
    </rPh>
    <phoneticPr fontId="27"/>
  </si>
  <si>
    <t>設定できない理由_一定期間を有する</t>
    <rPh sb="0" eb="2">
      <t>セッテイ</t>
    </rPh>
    <rPh sb="6" eb="8">
      <t>リユウ</t>
    </rPh>
    <rPh sb="9" eb="11">
      <t>イッテイ</t>
    </rPh>
    <rPh sb="11" eb="13">
      <t>キカン</t>
    </rPh>
    <rPh sb="14" eb="15">
      <t>ユウ</t>
    </rPh>
    <phoneticPr fontId="27"/>
  </si>
  <si>
    <t>設定できない理由_自由記述</t>
    <rPh sb="0" eb="2">
      <t>セッテイ</t>
    </rPh>
    <rPh sb="6" eb="8">
      <t>リユウ</t>
    </rPh>
    <rPh sb="9" eb="11">
      <t>ジユウ</t>
    </rPh>
    <rPh sb="11" eb="13">
      <t>キジュツ</t>
    </rPh>
    <phoneticPr fontId="27"/>
  </si>
  <si>
    <t>分配対象_他の介護職員</t>
    <rPh sb="0" eb="2">
      <t>ブンパイ</t>
    </rPh>
    <rPh sb="2" eb="4">
      <t>タイショウ</t>
    </rPh>
    <rPh sb="5" eb="6">
      <t>タ</t>
    </rPh>
    <rPh sb="7" eb="9">
      <t>カイゴ</t>
    </rPh>
    <rPh sb="9" eb="11">
      <t>ショクイン</t>
    </rPh>
    <phoneticPr fontId="27"/>
  </si>
  <si>
    <t>分配対象_その他_看護</t>
    <rPh sb="0" eb="2">
      <t>ブンパイ</t>
    </rPh>
    <rPh sb="2" eb="4">
      <t>タイショウ</t>
    </rPh>
    <rPh sb="7" eb="8">
      <t>タ</t>
    </rPh>
    <rPh sb="9" eb="11">
      <t>カンゴ</t>
    </rPh>
    <phoneticPr fontId="27"/>
  </si>
  <si>
    <t>分配対象_その他_PT/OT/ST</t>
    <rPh sb="0" eb="2">
      <t>ブンパイ</t>
    </rPh>
    <rPh sb="2" eb="4">
      <t>タイショウ</t>
    </rPh>
    <rPh sb="7" eb="8">
      <t>タ</t>
    </rPh>
    <phoneticPr fontId="27"/>
  </si>
  <si>
    <t>分配対象_その他_管理栄養士</t>
    <rPh sb="0" eb="2">
      <t>ブンパイ</t>
    </rPh>
    <rPh sb="2" eb="4">
      <t>タイショウ</t>
    </rPh>
    <rPh sb="7" eb="8">
      <t>タ</t>
    </rPh>
    <rPh sb="9" eb="14">
      <t>カンリエイヨウシ</t>
    </rPh>
    <phoneticPr fontId="27"/>
  </si>
  <si>
    <t>分配対象_その他_生活相談員</t>
    <rPh sb="0" eb="2">
      <t>ブンパイ</t>
    </rPh>
    <rPh sb="2" eb="4">
      <t>タイショウ</t>
    </rPh>
    <rPh sb="7" eb="8">
      <t>タ</t>
    </rPh>
    <rPh sb="9" eb="11">
      <t>セイカツ</t>
    </rPh>
    <rPh sb="11" eb="14">
      <t>ソウダンイン</t>
    </rPh>
    <phoneticPr fontId="27"/>
  </si>
  <si>
    <t>分配対象_その他_事務職</t>
    <rPh sb="0" eb="2">
      <t>ブンパイ</t>
    </rPh>
    <rPh sb="2" eb="4">
      <t>タイショウ</t>
    </rPh>
    <rPh sb="7" eb="8">
      <t>タ</t>
    </rPh>
    <rPh sb="9" eb="11">
      <t>ジム</t>
    </rPh>
    <rPh sb="11" eb="12">
      <t>ショク</t>
    </rPh>
    <phoneticPr fontId="27"/>
  </si>
  <si>
    <t>分配対象_その他_調理職員</t>
    <rPh sb="0" eb="2">
      <t>ブンパイ</t>
    </rPh>
    <rPh sb="2" eb="4">
      <t>タイショウ</t>
    </rPh>
    <rPh sb="7" eb="8">
      <t>タ</t>
    </rPh>
    <rPh sb="9" eb="11">
      <t>チョウリ</t>
    </rPh>
    <rPh sb="11" eb="13">
      <t>ショクイン</t>
    </rPh>
    <phoneticPr fontId="27"/>
  </si>
  <si>
    <t>賃金改善_基本給</t>
    <rPh sb="0" eb="2">
      <t>チンギン</t>
    </rPh>
    <rPh sb="2" eb="4">
      <t>カイゼン</t>
    </rPh>
    <rPh sb="5" eb="8">
      <t>キホンキュウ</t>
    </rPh>
    <phoneticPr fontId="27"/>
  </si>
  <si>
    <t>賃金改善_賞与（一時金）</t>
    <rPh sb="0" eb="4">
      <t>チンギンカイゼン</t>
    </rPh>
    <rPh sb="5" eb="7">
      <t>ショウヨ</t>
    </rPh>
    <rPh sb="8" eb="11">
      <t>イチジキン</t>
    </rPh>
    <phoneticPr fontId="27"/>
  </si>
  <si>
    <t>賃金改善_手当</t>
    <rPh sb="0" eb="2">
      <t>チンギン</t>
    </rPh>
    <rPh sb="2" eb="4">
      <t>カイゼン</t>
    </rPh>
    <rPh sb="5" eb="7">
      <t>テアテ</t>
    </rPh>
    <phoneticPr fontId="27"/>
  </si>
  <si>
    <t>賃金改善_その他（自由記述）</t>
    <rPh sb="0" eb="2">
      <t>チンギン</t>
    </rPh>
    <rPh sb="2" eb="4">
      <t>カイゼン</t>
    </rPh>
    <rPh sb="7" eb="8">
      <t>タ</t>
    </rPh>
    <rPh sb="9" eb="11">
      <t>ジユウ</t>
    </rPh>
    <rPh sb="11" eb="13">
      <t>キジュツ</t>
    </rPh>
    <phoneticPr fontId="27"/>
  </si>
  <si>
    <t>設問変更</t>
    <rPh sb="0" eb="4">
      <t>セツモンヘンコウ</t>
    </rPh>
    <phoneticPr fontId="27"/>
  </si>
  <si>
    <t xml:space="preserve"> 算定要件_①</t>
    <phoneticPr fontId="27"/>
  </si>
  <si>
    <t>２２．看取り介護加算の取得状況_方針</t>
    <rPh sb="16" eb="18">
      <t>ホウシン</t>
    </rPh>
    <phoneticPr fontId="27"/>
  </si>
  <si>
    <t>看取り介護の課題1</t>
    <rPh sb="0" eb="2">
      <t>ミト</t>
    </rPh>
    <rPh sb="3" eb="5">
      <t>カイゴ</t>
    </rPh>
    <rPh sb="6" eb="8">
      <t>カダイ</t>
    </rPh>
    <phoneticPr fontId="27"/>
  </si>
  <si>
    <t>看取り介護の課題2</t>
    <rPh sb="0" eb="2">
      <t>ミト</t>
    </rPh>
    <rPh sb="3" eb="5">
      <t>カイゴ</t>
    </rPh>
    <rPh sb="6" eb="8">
      <t>カダイ</t>
    </rPh>
    <phoneticPr fontId="27"/>
  </si>
  <si>
    <t>看取り介護の課題3</t>
    <rPh sb="0" eb="2">
      <t>ミト</t>
    </rPh>
    <rPh sb="3" eb="5">
      <t>カイゴ</t>
    </rPh>
    <rPh sb="6" eb="8">
      <t>カダイ</t>
    </rPh>
    <phoneticPr fontId="27"/>
  </si>
  <si>
    <t>看取り介護の課題4</t>
    <rPh sb="0" eb="2">
      <t>ミト</t>
    </rPh>
    <rPh sb="3" eb="5">
      <t>カイゴ</t>
    </rPh>
    <rPh sb="6" eb="8">
      <t>カダイ</t>
    </rPh>
    <phoneticPr fontId="27"/>
  </si>
  <si>
    <t>看取り介護の課題5</t>
    <rPh sb="0" eb="2">
      <t>ミト</t>
    </rPh>
    <rPh sb="3" eb="5">
      <t>カイゴ</t>
    </rPh>
    <rPh sb="6" eb="8">
      <t>カダイ</t>
    </rPh>
    <phoneticPr fontId="27"/>
  </si>
  <si>
    <t>看取り介護の課題6</t>
    <rPh sb="0" eb="2">
      <t>ミト</t>
    </rPh>
    <rPh sb="3" eb="5">
      <t>カイゴ</t>
    </rPh>
    <rPh sb="6" eb="8">
      <t>カダイ</t>
    </rPh>
    <phoneticPr fontId="27"/>
  </si>
  <si>
    <t>看取り介護の課題7</t>
    <rPh sb="0" eb="2">
      <t>ミト</t>
    </rPh>
    <rPh sb="3" eb="5">
      <t>カイゴ</t>
    </rPh>
    <rPh sb="6" eb="8">
      <t>カダイ</t>
    </rPh>
    <phoneticPr fontId="27"/>
  </si>
  <si>
    <t>看取り介護の課題8</t>
    <rPh sb="0" eb="2">
      <t>ミト</t>
    </rPh>
    <rPh sb="3" eb="5">
      <t>カイゴ</t>
    </rPh>
    <rPh sb="6" eb="8">
      <t>カダイ</t>
    </rPh>
    <phoneticPr fontId="27"/>
  </si>
  <si>
    <t>看取り介護の課題9</t>
    <rPh sb="0" eb="2">
      <t>ミト</t>
    </rPh>
    <rPh sb="3" eb="5">
      <t>カイゴ</t>
    </rPh>
    <rPh sb="6" eb="8">
      <t>カダイ</t>
    </rPh>
    <phoneticPr fontId="27"/>
  </si>
  <si>
    <t>看取り介護の課題10</t>
    <rPh sb="0" eb="2">
      <t>ミト</t>
    </rPh>
    <rPh sb="3" eb="5">
      <t>カイゴ</t>
    </rPh>
    <rPh sb="6" eb="8">
      <t>カダイ</t>
    </rPh>
    <phoneticPr fontId="27"/>
  </si>
  <si>
    <t>看取り介護の課題11</t>
    <rPh sb="0" eb="2">
      <t>ミト</t>
    </rPh>
    <rPh sb="3" eb="5">
      <t>カイゴ</t>
    </rPh>
    <rPh sb="6" eb="8">
      <t>カダイ</t>
    </rPh>
    <phoneticPr fontId="27"/>
  </si>
  <si>
    <t>看取り介護の課題12</t>
    <rPh sb="0" eb="2">
      <t>ミト</t>
    </rPh>
    <rPh sb="3" eb="5">
      <t>カイゴ</t>
    </rPh>
    <rPh sb="6" eb="8">
      <t>カダイ</t>
    </rPh>
    <phoneticPr fontId="27"/>
  </si>
  <si>
    <t>看取り介護の課題13その他（自由記述）</t>
    <rPh sb="0" eb="2">
      <t>ミト</t>
    </rPh>
    <rPh sb="3" eb="5">
      <t>カイゴ</t>
    </rPh>
    <rPh sb="6" eb="8">
      <t>カダイ</t>
    </rPh>
    <rPh sb="12" eb="13">
      <t>タ</t>
    </rPh>
    <rPh sb="14" eb="18">
      <t>ジユウキジュツ</t>
    </rPh>
    <phoneticPr fontId="27"/>
  </si>
  <si>
    <t>外国人採用_外国人技能実習生</t>
    <rPh sb="0" eb="2">
      <t>ガイコク</t>
    </rPh>
    <rPh sb="2" eb="3">
      <t>ジン</t>
    </rPh>
    <rPh sb="3" eb="5">
      <t>サイヨウ</t>
    </rPh>
    <rPh sb="6" eb="8">
      <t>ガイコク</t>
    </rPh>
    <rPh sb="8" eb="9">
      <t>ジン</t>
    </rPh>
    <rPh sb="9" eb="11">
      <t>ギノウ</t>
    </rPh>
    <rPh sb="11" eb="14">
      <t>ジッシュウセイ</t>
    </rPh>
    <phoneticPr fontId="27"/>
  </si>
  <si>
    <t>　　補助金事業収益（公費+一般）</t>
    <rPh sb="2" eb="5">
      <t>ホジョキン</t>
    </rPh>
    <rPh sb="5" eb="7">
      <t>ジギョウ</t>
    </rPh>
    <rPh sb="7" eb="9">
      <t>シュウエキ</t>
    </rPh>
    <rPh sb="10" eb="12">
      <t>コウヒ</t>
    </rPh>
    <rPh sb="13" eb="15">
      <t>イッパン</t>
    </rPh>
    <phoneticPr fontId="10"/>
  </si>
  <si>
    <t>　　補助金事業収益（一般）</t>
    <rPh sb="2" eb="5">
      <t>ホジョキン</t>
    </rPh>
    <rPh sb="5" eb="7">
      <t>ジギョウ</t>
    </rPh>
    <rPh sb="7" eb="9">
      <t>シュウエキ</t>
    </rPh>
    <rPh sb="10" eb="12">
      <t>イッパン</t>
    </rPh>
    <phoneticPr fontId="10"/>
  </si>
  <si>
    <t>　　受託事業収益（公費+一般）</t>
    <rPh sb="2" eb="4">
      <t>ジュタク</t>
    </rPh>
    <rPh sb="4" eb="6">
      <t>ジギョウ</t>
    </rPh>
    <rPh sb="6" eb="8">
      <t>シュウエキ</t>
    </rPh>
    <rPh sb="12" eb="14">
      <t>イッパン</t>
    </rPh>
    <phoneticPr fontId="10"/>
  </si>
  <si>
    <t>　　市町村特別事業収益（公費+一般）</t>
    <rPh sb="2" eb="5">
      <t>シチョウソン</t>
    </rPh>
    <rPh sb="5" eb="7">
      <t>トクベツ</t>
    </rPh>
    <rPh sb="7" eb="9">
      <t>ジギョウ</t>
    </rPh>
    <rPh sb="9" eb="11">
      <t>シュウエキ</t>
    </rPh>
    <rPh sb="15" eb="17">
      <t>イッパン</t>
    </rPh>
    <phoneticPr fontId="10"/>
  </si>
  <si>
    <t>　　市町村特別事業収益（一般）</t>
    <rPh sb="2" eb="5">
      <t>シチョウソン</t>
    </rPh>
    <rPh sb="5" eb="7">
      <t>トクベツ</t>
    </rPh>
    <rPh sb="7" eb="9">
      <t>ジギョウ</t>
    </rPh>
    <rPh sb="9" eb="11">
      <t>シュウエキ</t>
    </rPh>
    <rPh sb="12" eb="14">
      <t>イッパン</t>
    </rPh>
    <phoneticPr fontId="10"/>
  </si>
  <si>
    <t>　　受託事業収益（一般）</t>
    <rPh sb="2" eb="4">
      <t>ジュタク</t>
    </rPh>
    <rPh sb="4" eb="6">
      <t>ジギョウ</t>
    </rPh>
    <rPh sb="6" eb="8">
      <t>シュウエキ</t>
    </rPh>
    <rPh sb="9" eb="11">
      <t>イッパン</t>
    </rPh>
    <phoneticPr fontId="10"/>
  </si>
  <si>
    <t>非表示設定分番号が飛ぶ</t>
    <rPh sb="0" eb="3">
      <t>ヒヒョウジ</t>
    </rPh>
    <rPh sb="3" eb="5">
      <t>セッテイ</t>
    </rPh>
    <rPh sb="5" eb="6">
      <t>ブン</t>
    </rPh>
    <rPh sb="6" eb="8">
      <t>バンゴウ</t>
    </rPh>
    <rPh sb="9" eb="10">
      <t>ト</t>
    </rPh>
    <phoneticPr fontId="27"/>
  </si>
  <si>
    <t>設問無</t>
    <rPh sb="0" eb="2">
      <t>セツモン</t>
    </rPh>
    <rPh sb="2" eb="3">
      <t>ナシ</t>
    </rPh>
    <phoneticPr fontId="27"/>
  </si>
  <si>
    <t>負債及び純資産の部合計</t>
    <rPh sb="0" eb="2">
      <t>フサイ</t>
    </rPh>
    <rPh sb="2" eb="3">
      <t>オヨ</t>
    </rPh>
    <rPh sb="4" eb="7">
      <t>ジュンシサン</t>
    </rPh>
    <rPh sb="8" eb="9">
      <t>ブ</t>
    </rPh>
    <rPh sb="9" eb="11">
      <t>ゴウケイ</t>
    </rPh>
    <phoneticPr fontId="27"/>
  </si>
  <si>
    <t>設問削除</t>
    <rPh sb="0" eb="2">
      <t>セツモン</t>
    </rPh>
    <rPh sb="2" eb="4">
      <t>サクジョ</t>
    </rPh>
    <phoneticPr fontId="27"/>
  </si>
  <si>
    <t>　土地</t>
    <rPh sb="1" eb="3">
      <t>トチ</t>
    </rPh>
    <phoneticPr fontId="10"/>
  </si>
  <si>
    <t>　建物</t>
    <rPh sb="1" eb="3">
      <t>タテモノ</t>
    </rPh>
    <phoneticPr fontId="10"/>
  </si>
  <si>
    <t>　定期預金</t>
    <rPh sb="1" eb="3">
      <t>テイキ</t>
    </rPh>
    <rPh sb="3" eb="5">
      <t>ヨキン</t>
    </rPh>
    <phoneticPr fontId="10"/>
  </si>
  <si>
    <t>　投資有価証券</t>
    <rPh sb="1" eb="3">
      <t>トウシ</t>
    </rPh>
    <rPh sb="3" eb="5">
      <t>ユウカ</t>
    </rPh>
    <rPh sb="5" eb="7">
      <t>ショウケン</t>
    </rPh>
    <phoneticPr fontId="10"/>
  </si>
  <si>
    <t>土地</t>
    <rPh sb="0" eb="2">
      <t>トチ</t>
    </rPh>
    <phoneticPr fontId="27"/>
  </si>
  <si>
    <t>建物</t>
    <rPh sb="0" eb="2">
      <t>タテモノ</t>
    </rPh>
    <phoneticPr fontId="27"/>
  </si>
  <si>
    <t>定期預金</t>
    <rPh sb="0" eb="2">
      <t>テイキ</t>
    </rPh>
    <rPh sb="2" eb="4">
      <t>ヨキン</t>
    </rPh>
    <phoneticPr fontId="27"/>
  </si>
  <si>
    <t>投資有価証券</t>
    <rPh sb="0" eb="6">
      <t>トウシユウカショウケン</t>
    </rPh>
    <phoneticPr fontId="27"/>
  </si>
  <si>
    <t>　事業未収金</t>
    <rPh sb="1" eb="3">
      <t>ジギョウ</t>
    </rPh>
    <rPh sb="3" eb="6">
      <t>ミシュウキン</t>
    </rPh>
    <phoneticPr fontId="10"/>
  </si>
  <si>
    <t>　　　事業未収金</t>
    <rPh sb="3" eb="5">
      <t>ジギョウ</t>
    </rPh>
    <rPh sb="5" eb="8">
      <t>ミシュウキン</t>
    </rPh>
    <phoneticPr fontId="10"/>
  </si>
  <si>
    <t>　土地</t>
    <rPh sb="1" eb="3">
      <t>トチ</t>
    </rPh>
    <phoneticPr fontId="10"/>
  </si>
  <si>
    <t>　建物</t>
    <rPh sb="1" eb="3">
      <t>タテモノ</t>
    </rPh>
    <phoneticPr fontId="10"/>
  </si>
  <si>
    <t>　構築物</t>
    <rPh sb="1" eb="4">
      <t>コウチクブツ</t>
    </rPh>
    <phoneticPr fontId="10"/>
  </si>
  <si>
    <t>　機械及び装置</t>
    <rPh sb="1" eb="3">
      <t>キカイ</t>
    </rPh>
    <rPh sb="3" eb="4">
      <t>オヨ</t>
    </rPh>
    <rPh sb="5" eb="7">
      <t>ソウチ</t>
    </rPh>
    <phoneticPr fontId="10"/>
  </si>
  <si>
    <t>　車輛運搬具</t>
    <rPh sb="1" eb="3">
      <t>シャリョウ</t>
    </rPh>
    <rPh sb="3" eb="5">
      <t>ウンパン</t>
    </rPh>
    <rPh sb="5" eb="6">
      <t>グ</t>
    </rPh>
    <phoneticPr fontId="10"/>
  </si>
  <si>
    <t>　器具及び備品</t>
    <rPh sb="1" eb="3">
      <t>キグ</t>
    </rPh>
    <rPh sb="3" eb="4">
      <t>オヨ</t>
    </rPh>
    <rPh sb="5" eb="7">
      <t>ビヒン</t>
    </rPh>
    <phoneticPr fontId="10"/>
  </si>
  <si>
    <t>　退職給与引当金</t>
    <rPh sb="1" eb="3">
      <t>タイショク</t>
    </rPh>
    <rPh sb="3" eb="5">
      <t>キュウヨ</t>
    </rPh>
    <rPh sb="5" eb="7">
      <t>ヒキアテ</t>
    </rPh>
    <rPh sb="7" eb="8">
      <t>キン</t>
    </rPh>
    <phoneticPr fontId="10"/>
  </si>
  <si>
    <t>　長期預り金積立資産</t>
    <rPh sb="1" eb="3">
      <t>チョウキ</t>
    </rPh>
    <rPh sb="3" eb="4">
      <t>アズカ</t>
    </rPh>
    <rPh sb="5" eb="6">
      <t>キン</t>
    </rPh>
    <rPh sb="6" eb="7">
      <t>ツ</t>
    </rPh>
    <rPh sb="7" eb="8">
      <t>タ</t>
    </rPh>
    <rPh sb="8" eb="10">
      <t>シサン</t>
    </rPh>
    <phoneticPr fontId="10"/>
  </si>
  <si>
    <t>　拠点区分間長期貸付金</t>
    <rPh sb="1" eb="3">
      <t>キョテン</t>
    </rPh>
    <rPh sb="3" eb="5">
      <t>クブン</t>
    </rPh>
    <rPh sb="5" eb="6">
      <t>カン</t>
    </rPh>
    <rPh sb="6" eb="8">
      <t>チョウキ</t>
    </rPh>
    <rPh sb="8" eb="10">
      <t>カシツケ</t>
    </rPh>
    <rPh sb="10" eb="11">
      <t>キン</t>
    </rPh>
    <phoneticPr fontId="10"/>
  </si>
  <si>
    <t>　事業区分間長期貸付金</t>
    <rPh sb="1" eb="3">
      <t>ジギョウ</t>
    </rPh>
    <rPh sb="3" eb="5">
      <t>クブン</t>
    </rPh>
    <rPh sb="5" eb="6">
      <t>カン</t>
    </rPh>
    <rPh sb="6" eb="8">
      <t>チョウキ</t>
    </rPh>
    <rPh sb="8" eb="10">
      <t>カシツケ</t>
    </rPh>
    <rPh sb="10" eb="11">
      <t>キン</t>
    </rPh>
    <phoneticPr fontId="10"/>
  </si>
  <si>
    <r>
      <t>※2019年3</t>
    </r>
    <r>
      <rPr>
        <u/>
        <sz val="11"/>
        <color indexed="8"/>
        <rFont val="ＭＳ Ｐ明朝"/>
        <family val="1"/>
        <charset val="128"/>
      </rPr>
      <t>月末時点の実数</t>
    </r>
    <rPh sb="8" eb="9">
      <t>マツ</t>
    </rPh>
    <phoneticPr fontId="10"/>
  </si>
  <si>
    <t>※2018年4月1日から2019年3月31日まで</t>
    <rPh sb="5" eb="6">
      <t>ネン</t>
    </rPh>
    <rPh sb="6" eb="7">
      <t>ヘイネン</t>
    </rPh>
    <rPh sb="7" eb="8">
      <t>ガツ</t>
    </rPh>
    <rPh sb="9" eb="10">
      <t>ニチ</t>
    </rPh>
    <rPh sb="16" eb="17">
      <t>ネン</t>
    </rPh>
    <rPh sb="17" eb="18">
      <t>ヘイネン</t>
    </rPh>
    <rPh sb="18" eb="19">
      <t>ガツ</t>
    </rPh>
    <rPh sb="21" eb="22">
      <t>ニチ</t>
    </rPh>
    <phoneticPr fontId="10"/>
  </si>
  <si>
    <t>品川4丁目ホーム</t>
    <rPh sb="0" eb="2">
      <t>シナガワ</t>
    </rPh>
    <rPh sb="3" eb="5">
      <t>チョウメ</t>
    </rPh>
    <phoneticPr fontId="27"/>
  </si>
  <si>
    <t>「月額8万円の改善又は改善後の賃金が年額440万円以上となる者」を設定できない場合、その理由として該当する内容に「1」を選択してください。</t>
    <rPh sb="1" eb="3">
      <t>ゲツガク</t>
    </rPh>
    <rPh sb="4" eb="6">
      <t>マンエン</t>
    </rPh>
    <rPh sb="7" eb="9">
      <t>カイゼン</t>
    </rPh>
    <rPh sb="9" eb="10">
      <t>マタ</t>
    </rPh>
    <rPh sb="11" eb="13">
      <t>カイゼン</t>
    </rPh>
    <rPh sb="13" eb="14">
      <t>ゴ</t>
    </rPh>
    <rPh sb="15" eb="17">
      <t>チンギン</t>
    </rPh>
    <rPh sb="18" eb="20">
      <t>ネンガク</t>
    </rPh>
    <rPh sb="23" eb="27">
      <t>マンエンイジョウ</t>
    </rPh>
    <rPh sb="30" eb="31">
      <t>モノ</t>
    </rPh>
    <rPh sb="33" eb="35">
      <t>セッテイ</t>
    </rPh>
    <rPh sb="39" eb="41">
      <t>バアイ</t>
    </rPh>
    <rPh sb="44" eb="46">
      <t>リユウ</t>
    </rPh>
    <rPh sb="49" eb="51">
      <t>ガイトウ</t>
    </rPh>
    <rPh sb="53" eb="55">
      <t>ナイヨウ</t>
    </rPh>
    <rPh sb="60" eb="62">
      <t>センタク</t>
    </rPh>
    <phoneticPr fontId="10"/>
  </si>
  <si>
    <t>分配対象_その他_有無</t>
    <rPh sb="0" eb="2">
      <t>ブンパイ</t>
    </rPh>
    <rPh sb="2" eb="4">
      <t>タイショウ</t>
    </rPh>
    <rPh sb="7" eb="8">
      <t>タ</t>
    </rPh>
    <rPh sb="9" eb="11">
      <t>ウム</t>
    </rPh>
    <phoneticPr fontId="27"/>
  </si>
  <si>
    <t>※「回答の手引き」を参照の上、読み込みボタンを押してください（マクロを実行してください）。</t>
    <rPh sb="2" eb="4">
      <t>カイトウ</t>
    </rPh>
    <rPh sb="5" eb="7">
      <t>テビ</t>
    </rPh>
    <rPh sb="10" eb="12">
      <t>サンショウ</t>
    </rPh>
    <rPh sb="13" eb="14">
      <t>ウエ</t>
    </rPh>
    <rPh sb="15" eb="16">
      <t>ヨ</t>
    </rPh>
    <rPh sb="17" eb="18">
      <t>コ</t>
    </rPh>
    <rPh sb="23" eb="24">
      <t>オ</t>
    </rPh>
    <rPh sb="35" eb="37">
      <t>ジッコウ</t>
    </rPh>
    <phoneticPr fontId="10"/>
  </si>
  <si>
    <t>相模原市高齢者福祉施設協議会</t>
    <rPh sb="0" eb="4">
      <t>サガミハラシ</t>
    </rPh>
    <rPh sb="4" eb="7">
      <t>コウレイシャ</t>
    </rPh>
    <rPh sb="7" eb="9">
      <t>フクシ</t>
    </rPh>
    <rPh sb="9" eb="11">
      <t>シセツ</t>
    </rPh>
    <rPh sb="11" eb="14">
      <t>キョウギカイ</t>
    </rPh>
    <phoneticPr fontId="10"/>
  </si>
  <si>
    <t>「第4回 相模原市 特別養護老人ホーム実態調査」
～施設基本項目調査票～</t>
    <rPh sb="5" eb="8">
      <t>サガミハラ</t>
    </rPh>
    <rPh sb="8" eb="9">
      <t>シ</t>
    </rPh>
    <rPh sb="9" eb="10">
      <t>ハライチ</t>
    </rPh>
    <rPh sb="10" eb="12">
      <t>トクベツ</t>
    </rPh>
    <rPh sb="26" eb="28">
      <t>シセツ</t>
    </rPh>
    <rPh sb="28" eb="30">
      <t>キホン</t>
    </rPh>
    <rPh sb="30" eb="32">
      <t>コウモク</t>
    </rPh>
    <rPh sb="32" eb="35">
      <t>チョウサヒョウ</t>
    </rPh>
    <phoneticPr fontId="10"/>
  </si>
  <si>
    <r>
      <t>「施設基本項目調査票（本調査票）」を添付して、</t>
    </r>
    <r>
      <rPr>
        <sz val="11"/>
        <color rgb="FFFF0000"/>
        <rFont val="ＭＳ Ｐ明朝"/>
        <family val="1"/>
        <charset val="128"/>
      </rPr>
      <t>sagamihara-tokuyo@kawahara-group.co.jp</t>
    </r>
    <r>
      <rPr>
        <sz val="11"/>
        <color theme="1"/>
        <rFont val="ＭＳ Ｐ明朝"/>
        <family val="1"/>
        <charset val="128"/>
      </rPr>
      <t>まで送信してください。
また、「2018年度決算書」をマクロで読み込み、「事業活動計算書（事業明細）」「貸借対照表（貸借（四様式））」「資金収支計算書（資金明細）」が本調査票に追加され、決算書の数値に反映されているか確認したうえでご提出ください。</t>
    </r>
    <rPh sb="106" eb="110">
      <t>ジギョウメイサイ</t>
    </rPh>
    <rPh sb="119" eb="121">
      <t>タイシャク</t>
    </rPh>
    <rPh sb="122" eb="123">
      <t>ヨン</t>
    </rPh>
    <rPh sb="123" eb="125">
      <t>ヨウシキ</t>
    </rPh>
    <rPh sb="137" eb="141">
      <t>シキンメイサイ</t>
    </rPh>
    <phoneticPr fontId="10"/>
  </si>
  <si>
    <t>Eメールアドレス：sagamihara-tokuyo@kawahara-group.co.jp</t>
    <phoneticPr fontId="10"/>
  </si>
  <si>
    <t>中央</t>
    <rPh sb="0" eb="2">
      <t>チュウオウ</t>
    </rPh>
    <phoneticPr fontId="10"/>
  </si>
  <si>
    <t>4級地</t>
    <rPh sb="1" eb="2">
      <t>キュウ</t>
    </rPh>
    <rPh sb="2" eb="3">
      <t>チ</t>
    </rPh>
    <phoneticPr fontId="10"/>
  </si>
  <si>
    <t>相模原市</t>
    <rPh sb="0" eb="3">
      <t>サガミハラ</t>
    </rPh>
    <rPh sb="3" eb="4">
      <t>シ</t>
    </rPh>
    <phoneticPr fontId="10"/>
  </si>
  <si>
    <t>SA001</t>
  </si>
  <si>
    <t>SA002</t>
  </si>
  <si>
    <t>SA003</t>
  </si>
  <si>
    <t>SA004</t>
  </si>
  <si>
    <t>SA005</t>
  </si>
  <si>
    <t>SA006</t>
  </si>
  <si>
    <t>SA007</t>
  </si>
  <si>
    <t>SA008</t>
  </si>
  <si>
    <t>SA009</t>
  </si>
  <si>
    <t>SA010</t>
  </si>
  <si>
    <t>SA011</t>
  </si>
  <si>
    <t>SA012</t>
  </si>
  <si>
    <t>SA013</t>
  </si>
  <si>
    <t>SA014</t>
  </si>
  <si>
    <t>SA015</t>
  </si>
  <si>
    <t>SA016</t>
  </si>
  <si>
    <t>SA017</t>
  </si>
  <si>
    <t>SA018</t>
  </si>
  <si>
    <t>SA020</t>
  </si>
  <si>
    <t>SA021</t>
  </si>
  <si>
    <t>SA022</t>
  </si>
  <si>
    <t>SA023</t>
  </si>
  <si>
    <t>SA024</t>
  </si>
  <si>
    <t>SA025</t>
  </si>
  <si>
    <t>SA026</t>
  </si>
  <si>
    <t>SA027</t>
  </si>
  <si>
    <t>SA028</t>
  </si>
  <si>
    <t>SA029</t>
  </si>
  <si>
    <t>SA030</t>
  </si>
  <si>
    <t>SA031</t>
  </si>
  <si>
    <t>SA032</t>
  </si>
  <si>
    <t>SA033</t>
  </si>
  <si>
    <t>SA034</t>
  </si>
  <si>
    <t>SA035</t>
  </si>
  <si>
    <t>SA036</t>
  </si>
  <si>
    <t>SA037</t>
  </si>
  <si>
    <t>SA038</t>
  </si>
  <si>
    <t>SA039</t>
  </si>
  <si>
    <t>SA040</t>
  </si>
  <si>
    <t>SA041</t>
  </si>
  <si>
    <t>SA042</t>
  </si>
  <si>
    <t>SA043</t>
  </si>
  <si>
    <t>SA044</t>
  </si>
  <si>
    <t>東橋本ひまわりホーム</t>
    <rPh sb="0" eb="1">
      <t>ヒガシ</t>
    </rPh>
    <rPh sb="1" eb="3">
      <t>ハシモト</t>
    </rPh>
    <phoneticPr fontId="10"/>
  </si>
  <si>
    <t>ボーナビール二本松</t>
    <rPh sb="6" eb="8">
      <t>ニホン</t>
    </rPh>
    <rPh sb="8" eb="9">
      <t>マツ</t>
    </rPh>
    <phoneticPr fontId="10"/>
  </si>
  <si>
    <t>中の郷（従来型）</t>
    <rPh sb="0" eb="3">
      <t>ナカノゴウ</t>
    </rPh>
    <rPh sb="4" eb="7">
      <t>ジュウライガタ</t>
    </rPh>
    <phoneticPr fontId="10"/>
  </si>
  <si>
    <t>ケアプラザさがみはら</t>
    <phoneticPr fontId="10"/>
  </si>
  <si>
    <t>ライフホーム城山</t>
    <rPh sb="6" eb="8">
      <t>シロヤマ</t>
    </rPh>
    <phoneticPr fontId="10"/>
  </si>
  <si>
    <t>旭ヶ丘老人ホーム</t>
    <rPh sb="0" eb="3">
      <t>アサヒガオカ</t>
    </rPh>
    <rPh sb="3" eb="5">
      <t>ロウジン</t>
    </rPh>
    <phoneticPr fontId="10"/>
  </si>
  <si>
    <t>さがみ湖桂寿苑</t>
    <rPh sb="3" eb="4">
      <t>コ</t>
    </rPh>
    <rPh sb="4" eb="5">
      <t>ケイ</t>
    </rPh>
    <rPh sb="5" eb="6">
      <t>ジュ</t>
    </rPh>
    <rPh sb="6" eb="7">
      <t>エン</t>
    </rPh>
    <phoneticPr fontId="10"/>
  </si>
  <si>
    <t>相模湖みどりの丘</t>
    <rPh sb="0" eb="3">
      <t>サガミコ</t>
    </rPh>
    <rPh sb="7" eb="8">
      <t>オカ</t>
    </rPh>
    <phoneticPr fontId="10"/>
  </si>
  <si>
    <t>銀の館</t>
    <rPh sb="0" eb="1">
      <t>ギン</t>
    </rPh>
    <rPh sb="2" eb="3">
      <t>ヤカタ</t>
    </rPh>
    <phoneticPr fontId="10"/>
  </si>
  <si>
    <t>青根苑（従来型）</t>
    <rPh sb="0" eb="1">
      <t>アオ</t>
    </rPh>
    <rPh sb="1" eb="2">
      <t>ネ</t>
    </rPh>
    <rPh sb="2" eb="3">
      <t>エン</t>
    </rPh>
    <rPh sb="4" eb="7">
      <t>ジュウライガタ</t>
    </rPh>
    <phoneticPr fontId="10"/>
  </si>
  <si>
    <t>みたけ</t>
    <phoneticPr fontId="10"/>
  </si>
  <si>
    <t xml:space="preserve">はあとぴあ
</t>
    <phoneticPr fontId="10"/>
  </si>
  <si>
    <t>泰政園</t>
    <rPh sb="0" eb="1">
      <t>タイ</t>
    </rPh>
    <rPh sb="1" eb="2">
      <t>セイ</t>
    </rPh>
    <rPh sb="2" eb="3">
      <t>エン</t>
    </rPh>
    <phoneticPr fontId="10"/>
  </si>
  <si>
    <t>リバーサイド田名ホーム</t>
    <rPh sb="6" eb="8">
      <t>タナ</t>
    </rPh>
    <phoneticPr fontId="10"/>
  </si>
  <si>
    <t>柴胡苑</t>
    <rPh sb="0" eb="1">
      <t>サイ</t>
    </rPh>
    <rPh sb="1" eb="2">
      <t>コ</t>
    </rPh>
    <rPh sb="2" eb="3">
      <t>エン</t>
    </rPh>
    <phoneticPr fontId="10"/>
  </si>
  <si>
    <t>縁JOY</t>
    <rPh sb="0" eb="1">
      <t>エン</t>
    </rPh>
    <phoneticPr fontId="10"/>
  </si>
  <si>
    <t>塩田ホーム（従来型）</t>
    <rPh sb="0" eb="2">
      <t>シオダ</t>
    </rPh>
    <rPh sb="6" eb="9">
      <t>ジュウライガタ</t>
    </rPh>
    <phoneticPr fontId="10"/>
  </si>
  <si>
    <t>コスモスセンター</t>
    <phoneticPr fontId="10"/>
  </si>
  <si>
    <t>ずっと我が家上溝本町</t>
    <rPh sb="3" eb="4">
      <t>ワ</t>
    </rPh>
    <rPh sb="5" eb="6">
      <t>ヤ</t>
    </rPh>
    <rPh sb="6" eb="8">
      <t>カミミゾ</t>
    </rPh>
    <rPh sb="8" eb="10">
      <t>ホンチョウ</t>
    </rPh>
    <phoneticPr fontId="10"/>
  </si>
  <si>
    <t>マナーハウス横山台</t>
    <rPh sb="6" eb="9">
      <t>ヨコヤマダイ</t>
    </rPh>
    <phoneticPr fontId="10"/>
  </si>
  <si>
    <t>大野北誠心園</t>
    <rPh sb="0" eb="2">
      <t>オオノ</t>
    </rPh>
    <rPh sb="2" eb="3">
      <t>キタ</t>
    </rPh>
    <rPh sb="3" eb="5">
      <t>セイシン</t>
    </rPh>
    <rPh sb="5" eb="6">
      <t>エン</t>
    </rPh>
    <phoneticPr fontId="10"/>
  </si>
  <si>
    <t>こもれび</t>
    <phoneticPr fontId="10"/>
  </si>
  <si>
    <t>シルバータウン相模原（従来型）</t>
    <rPh sb="7" eb="10">
      <t>サガミハラ</t>
    </rPh>
    <rPh sb="11" eb="14">
      <t>ジュウライガタ</t>
    </rPh>
    <phoneticPr fontId="10"/>
  </si>
  <si>
    <t>大野台幸園</t>
    <rPh sb="0" eb="3">
      <t>オオノダイ</t>
    </rPh>
    <rPh sb="3" eb="4">
      <t>サイワイ</t>
    </rPh>
    <rPh sb="4" eb="5">
      <t>エン</t>
    </rPh>
    <phoneticPr fontId="10"/>
  </si>
  <si>
    <t>グレープの里</t>
    <rPh sb="5" eb="6">
      <t>サト</t>
    </rPh>
    <phoneticPr fontId="10"/>
  </si>
  <si>
    <t>相模原すみれ園（従来型）</t>
    <rPh sb="0" eb="3">
      <t>サガミハラ</t>
    </rPh>
    <rPh sb="6" eb="7">
      <t>エン</t>
    </rPh>
    <rPh sb="8" eb="11">
      <t>ジュウライガタ</t>
    </rPh>
    <phoneticPr fontId="10"/>
  </si>
  <si>
    <t>モ   モ</t>
    <phoneticPr fontId="10"/>
  </si>
  <si>
    <t>コミュニティホームピノ</t>
    <phoneticPr fontId="10"/>
  </si>
  <si>
    <t>幸   園</t>
    <rPh sb="0" eb="1">
      <t>サイワ</t>
    </rPh>
    <rPh sb="4" eb="5">
      <t>エン</t>
    </rPh>
    <phoneticPr fontId="10"/>
  </si>
  <si>
    <t>あさみぞホーム</t>
    <phoneticPr fontId="10"/>
  </si>
  <si>
    <t>相陽台ホーム</t>
    <rPh sb="0" eb="1">
      <t>ソウ</t>
    </rPh>
    <rPh sb="1" eb="2">
      <t>ヨウ</t>
    </rPh>
    <rPh sb="2" eb="3">
      <t>ダイ</t>
    </rPh>
    <phoneticPr fontId="10"/>
  </si>
  <si>
    <t>東林間シニアクラブ</t>
    <rPh sb="0" eb="3">
      <t>ヒガシリンカン</t>
    </rPh>
    <phoneticPr fontId="10"/>
  </si>
  <si>
    <t>清菊園</t>
    <rPh sb="0" eb="1">
      <t>セイ</t>
    </rPh>
    <rPh sb="1" eb="2">
      <t>キク</t>
    </rPh>
    <rPh sb="2" eb="3">
      <t>エン</t>
    </rPh>
    <phoneticPr fontId="10"/>
  </si>
  <si>
    <t>よもぎの里愛の丘</t>
    <rPh sb="4" eb="5">
      <t>サト</t>
    </rPh>
    <rPh sb="5" eb="6">
      <t>アイ</t>
    </rPh>
    <rPh sb="7" eb="8">
      <t>オカ</t>
    </rPh>
    <phoneticPr fontId="10"/>
  </si>
  <si>
    <t>ラペ相模原</t>
    <rPh sb="2" eb="5">
      <t>サガミハラ</t>
    </rPh>
    <phoneticPr fontId="10"/>
  </si>
  <si>
    <t>りんどう麻溝</t>
    <rPh sb="4" eb="5">
      <t>アサ</t>
    </rPh>
    <rPh sb="5" eb="6">
      <t>ミゾ</t>
    </rPh>
    <phoneticPr fontId="10"/>
  </si>
  <si>
    <t>はなさか</t>
    <phoneticPr fontId="10"/>
  </si>
  <si>
    <t>相模原敬寿園</t>
    <rPh sb="0" eb="3">
      <t>サガミハラ</t>
    </rPh>
    <rPh sb="3" eb="4">
      <t>ケイ</t>
    </rPh>
    <rPh sb="4" eb="5">
      <t>ジュ</t>
    </rPh>
    <rPh sb="5" eb="6">
      <t>エン</t>
    </rPh>
    <phoneticPr fontId="10"/>
  </si>
  <si>
    <t>中の郷（ユニット型個室）</t>
    <rPh sb="0" eb="1">
      <t>ナカ</t>
    </rPh>
    <rPh sb="2" eb="3">
      <t>サト</t>
    </rPh>
    <rPh sb="8" eb="9">
      <t>ガタ</t>
    </rPh>
    <rPh sb="9" eb="11">
      <t>コシツ</t>
    </rPh>
    <phoneticPr fontId="27"/>
  </si>
  <si>
    <t>青根苑（ユニット型個室）</t>
    <rPh sb="0" eb="1">
      <t>アオ</t>
    </rPh>
    <rPh sb="1" eb="2">
      <t>ネ</t>
    </rPh>
    <rPh sb="2" eb="3">
      <t>エン</t>
    </rPh>
    <rPh sb="8" eb="9">
      <t>ガタ</t>
    </rPh>
    <rPh sb="9" eb="11">
      <t>コシツ</t>
    </rPh>
    <phoneticPr fontId="27"/>
  </si>
  <si>
    <t>塩田ホーム（ユニット型個室）</t>
    <rPh sb="10" eb="11">
      <t>ガタ</t>
    </rPh>
    <rPh sb="11" eb="13">
      <t>コシツ</t>
    </rPh>
    <phoneticPr fontId="27"/>
  </si>
  <si>
    <t>シルバータウン相模原（ユニット型個室）</t>
    <rPh sb="7" eb="10">
      <t>サガミハラ</t>
    </rPh>
    <rPh sb="15" eb="18">
      <t>ガタコシツ</t>
    </rPh>
    <phoneticPr fontId="10"/>
  </si>
  <si>
    <t>相模原すみれ園（ユニット型個室）</t>
    <rPh sb="0" eb="3">
      <t>サガミハラ</t>
    </rPh>
    <rPh sb="6" eb="7">
      <t>エン</t>
    </rPh>
    <rPh sb="12" eb="13">
      <t>ガタ</t>
    </rPh>
    <rPh sb="13" eb="15">
      <t>コシツ</t>
    </rPh>
    <phoneticPr fontId="27"/>
  </si>
  <si>
    <t>マナーハウス麻溝台</t>
    <rPh sb="6" eb="9">
      <t>アサミゾダイ</t>
    </rPh>
    <phoneticPr fontId="50"/>
  </si>
  <si>
    <t>SA999</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</si>
</sst>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numFmt numFmtId="177" formatCode="###.0"/>
    <numFmt numFmtId="178" formatCode="#,##0.0;[Red]\-#,##0.0"/>
    <numFmt numFmtId="179" formatCode="0.00_);[Red]\(0.00\)"/>
    <numFmt numFmtId="180" formatCode="0.0_);[Red]\(0.0\)"/>
    <numFmt numFmtId="181" formatCode="#,##0_ ;[Red]\-#,##0\ "/>
    <numFmt numFmtId="182" formatCode="0_ "/>
    <numFmt numFmtId="183" formatCode="0.0%"/>
    <numFmt numFmtId="184" formatCode="#,##0.0_ ;[Red]\-#,##0.0\ "/>
  </numFmts>
  <fonts count="7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明朝"/>
      <family val="1"/>
      <charset val="128"/>
    </font>
    <font>
      <sz val="11"/>
      <color theme="1"/>
      <name val="ＭＳ Ｐ明朝"/>
      <family val="1"/>
      <charset val="128"/>
    </font>
    <font>
      <b/>
      <sz val="16"/>
      <color theme="1"/>
      <name val="ＭＳ Ｐ明朝"/>
      <family val="1"/>
      <charset val="128"/>
    </font>
    <font>
      <b/>
      <sz val="11"/>
      <color theme="1"/>
      <name val="ＭＳ Ｐ明朝"/>
      <family val="1"/>
      <charset val="128"/>
    </font>
    <font>
      <sz val="12"/>
      <color theme="1"/>
      <name val="ＭＳ Ｐ明朝"/>
      <family val="1"/>
      <charset val="128"/>
    </font>
    <font>
      <sz val="11"/>
      <color indexed="8"/>
      <name val="ＭＳ Ｐ明朝"/>
      <family val="1"/>
      <charset val="128"/>
    </font>
    <font>
      <u/>
      <sz val="11"/>
      <color indexed="8"/>
      <name val="ＭＳ Ｐ明朝"/>
      <family val="1"/>
      <charset val="128"/>
    </font>
    <font>
      <b/>
      <u/>
      <sz val="11"/>
      <color indexed="8"/>
      <name val="ＭＳ Ｐ明朝"/>
      <family val="1"/>
      <charset val="128"/>
    </font>
    <font>
      <b/>
      <sz val="11"/>
      <name val="ＭＳ Ｐ明朝"/>
      <family val="1"/>
      <charset val="128"/>
    </font>
    <font>
      <b/>
      <u/>
      <sz val="11"/>
      <color theme="1"/>
      <name val="ＭＳ Ｐ明朝"/>
      <family val="1"/>
      <charset val="128"/>
    </font>
    <font>
      <sz val="10"/>
      <color theme="1"/>
      <name val="ＭＳ Ｐ明朝"/>
      <family val="1"/>
      <charset val="128"/>
    </font>
    <font>
      <u/>
      <sz val="11"/>
      <color theme="1"/>
      <name val="ＭＳ Ｐ明朝"/>
      <family val="1"/>
      <charset val="128"/>
    </font>
    <font>
      <sz val="9"/>
      <color theme="1"/>
      <name val="ＭＳ Ｐ明朝"/>
      <family val="1"/>
      <charset val="128"/>
    </font>
    <font>
      <u/>
      <sz val="14"/>
      <color rgb="FFFF0000"/>
      <name val="ＭＳ Ｐ明朝"/>
      <family val="1"/>
      <charset val="128"/>
    </font>
    <font>
      <sz val="12"/>
      <name val="ＭＳ Ｐ明朝"/>
      <family val="1"/>
      <charset val="128"/>
    </font>
    <font>
      <sz val="6"/>
      <name val="ＭＳ Ｐゴシック"/>
      <family val="3"/>
      <charset val="128"/>
      <scheme val="minor"/>
    </font>
    <font>
      <b/>
      <sz val="10"/>
      <name val="ＭＳ Ｐゴシック"/>
      <family val="3"/>
      <charset val="128"/>
    </font>
    <font>
      <b/>
      <sz val="11"/>
      <color theme="1"/>
      <name val="ＭＳ Ｐゴシック"/>
      <family val="3"/>
      <charset val="128"/>
      <scheme val="minor"/>
    </font>
    <font>
      <sz val="11"/>
      <color rgb="FFFF0000"/>
      <name val="ＭＳ Ｐ明朝"/>
      <family val="1"/>
      <charset val="128"/>
    </font>
    <font>
      <b/>
      <sz val="11"/>
      <name val="ＭＳ Ｐゴシック"/>
      <family val="3"/>
      <charset val="128"/>
    </font>
    <font>
      <sz val="10"/>
      <name val="ＭＳ Ｐゴシック"/>
      <family val="3"/>
      <charset val="128"/>
    </font>
    <font>
      <sz val="10"/>
      <color rgb="FFFF0000"/>
      <name val="ＭＳ Ｐゴシック"/>
      <family val="3"/>
      <charset val="128"/>
    </font>
    <font>
      <b/>
      <sz val="11"/>
      <color rgb="FFFF0000"/>
      <name val="ＭＳ Ｐ明朝"/>
      <family val="1"/>
      <charset val="128"/>
    </font>
    <font>
      <u/>
      <sz val="11"/>
      <name val="ＭＳ Ｐ明朝"/>
      <family val="1"/>
      <charset val="128"/>
    </font>
    <font>
      <sz val="10.5"/>
      <color theme="1"/>
      <name val="ＭＳ Ｐ明朝"/>
      <family val="1"/>
      <charset val="128"/>
    </font>
    <font>
      <b/>
      <u/>
      <sz val="14"/>
      <color rgb="FFFF0000"/>
      <name val="ＭＳ Ｐ明朝"/>
      <family val="1"/>
      <charset val="128"/>
    </font>
    <font>
      <sz val="10"/>
      <color theme="1"/>
      <name val="ＭＳ Ｐゴシック"/>
      <family val="3"/>
      <charset val="128"/>
    </font>
    <font>
      <sz val="11"/>
      <name val="ＭＳ Ｐゴシック"/>
      <family val="3"/>
      <charset val="128"/>
    </font>
    <font>
      <b/>
      <sz val="24"/>
      <name val="ＭＳ Ｐゴシック"/>
      <family val="3"/>
      <charset val="128"/>
    </font>
    <font>
      <b/>
      <sz val="14"/>
      <color rgb="FFFF0000"/>
      <name val="ＭＳ Ｐゴシック"/>
      <family val="3"/>
      <charset val="128"/>
    </font>
    <font>
      <sz val="20"/>
      <color theme="1"/>
      <name val="ＭＳ Ｐゴシック"/>
      <family val="3"/>
      <charset val="128"/>
      <scheme val="minor"/>
    </font>
    <font>
      <b/>
      <sz val="2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2"/>
      <name val="ＭＳ Ｐゴシック"/>
      <family val="3"/>
      <charset val="128"/>
    </font>
    <font>
      <sz val="9"/>
      <color theme="1"/>
      <name val="ＭＳ Ｐゴシック"/>
      <family val="3"/>
      <charset val="128"/>
      <scheme val="minor"/>
    </font>
    <font>
      <sz val="11"/>
      <color indexed="20"/>
      <name val="ＭＳ Ｐゴシック"/>
      <family val="3"/>
      <charset val="128"/>
    </font>
    <font>
      <sz val="6"/>
      <name val="ＭＳ Ｐゴシック"/>
      <family val="2"/>
      <charset val="128"/>
      <scheme val="minor"/>
    </font>
    <font>
      <sz val="11"/>
      <color theme="0"/>
      <name val="ＭＳ Ｐゴシック"/>
      <family val="2"/>
      <charset val="128"/>
      <scheme val="minor"/>
    </font>
    <font>
      <b/>
      <u/>
      <sz val="16"/>
      <color theme="1"/>
      <name val="HG丸ｺﾞｼｯｸM-PRO"/>
      <family val="3"/>
      <charset val="128"/>
    </font>
    <font>
      <sz val="11"/>
      <color theme="1"/>
      <name val="HG丸ｺﾞｼｯｸM-PRO"/>
      <family val="3"/>
      <charset val="128"/>
    </font>
    <font>
      <sz val="11"/>
      <color theme="0"/>
      <name val="HG丸ｺﾞｼｯｸM-PRO"/>
      <family val="3"/>
      <charset val="128"/>
    </font>
    <font>
      <sz val="11"/>
      <color rgb="FFFF0000"/>
      <name val="HG丸ｺﾞｼｯｸM-PRO"/>
      <family val="3"/>
      <charset val="128"/>
    </font>
    <font>
      <b/>
      <i/>
      <u/>
      <sz val="11"/>
      <color theme="1"/>
      <name val="HG丸ｺﾞｼｯｸM-PRO"/>
      <family val="3"/>
      <charset val="128"/>
    </font>
    <font>
      <sz val="11"/>
      <name val="HG丸ｺﾞｼｯｸM-PRO"/>
      <family val="3"/>
      <charset val="128"/>
    </font>
    <font>
      <b/>
      <sz val="11"/>
      <color rgb="FFFF0000"/>
      <name val="HG丸ｺﾞｼｯｸM-PRO"/>
      <family val="3"/>
      <charset val="128"/>
    </font>
    <font>
      <sz val="10"/>
      <color theme="0"/>
      <name val="HG丸ｺﾞｼｯｸM-PRO"/>
      <family val="3"/>
      <charset val="128"/>
    </font>
    <font>
      <sz val="9"/>
      <color theme="0"/>
      <name val="HG丸ｺﾞｼｯｸM-PRO"/>
      <family val="3"/>
      <charset val="128"/>
    </font>
    <font>
      <sz val="11"/>
      <name val="ＭＳ Ｐゴシック"/>
      <family val="2"/>
      <charset val="128"/>
      <scheme val="minor"/>
    </font>
    <font>
      <sz val="10"/>
      <color theme="1"/>
      <name val="ＭＳ Ｐゴシック"/>
      <family val="3"/>
      <charset val="128"/>
      <scheme val="minor"/>
    </font>
    <font>
      <sz val="11"/>
      <name val="ＭＳ ゴシック"/>
      <family val="3"/>
      <charset val="128"/>
    </font>
    <font>
      <sz val="11"/>
      <color theme="0"/>
      <name val="ＭＳ Ｐ明朝"/>
      <family val="1"/>
      <charset val="128"/>
    </font>
    <font>
      <b/>
      <sz val="11"/>
      <color theme="0"/>
      <name val="ＭＳ Ｐ明朝"/>
      <family val="1"/>
      <charset val="128"/>
    </font>
    <font>
      <b/>
      <sz val="11"/>
      <color theme="0"/>
      <name val="ＭＳ Ｐゴシック"/>
      <family val="3"/>
      <charset val="128"/>
    </font>
    <font>
      <u/>
      <sz val="11"/>
      <color theme="0"/>
      <name val="ＭＳ Ｐ明朝"/>
      <family val="1"/>
      <charset val="128"/>
    </font>
    <font>
      <sz val="11"/>
      <color theme="0"/>
      <name val="ＭＳ Ｐゴシック"/>
      <family val="3"/>
      <charset val="128"/>
    </font>
    <font>
      <sz val="24"/>
      <color theme="1"/>
      <name val="ＭＳ Ｐ明朝"/>
      <family val="1"/>
      <charset val="128"/>
    </font>
    <font>
      <sz val="10"/>
      <color theme="1"/>
      <name val="ＭＳ Ｐゴシック"/>
      <family val="2"/>
      <charset val="128"/>
      <scheme val="minor"/>
    </font>
  </fonts>
  <fills count="2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bgColor indexed="64"/>
      </patternFill>
    </fill>
    <fill>
      <patternFill patternType="solid">
        <fgColor rgb="FFFFC000"/>
        <bgColor indexed="64"/>
      </patternFill>
    </fill>
    <fill>
      <patternFill patternType="solid">
        <fgColor theme="8" tint="0.59999389629810485"/>
        <bgColor indexed="64"/>
      </patternFill>
    </fill>
    <fill>
      <patternFill patternType="solid">
        <fgColor theme="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rgb="FFFFFFCC"/>
        <bgColor indexed="64"/>
      </patternFill>
    </fill>
    <fill>
      <patternFill patternType="solid">
        <fgColor theme="7"/>
        <bgColor indexed="64"/>
      </patternFill>
    </fill>
  </fills>
  <borders count="214">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double">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double">
        <color indexed="64"/>
      </right>
      <top style="medium">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medium">
        <color indexed="64"/>
      </bottom>
      <diagonal/>
    </border>
    <border>
      <left/>
      <right style="double">
        <color indexed="64"/>
      </right>
      <top style="thin">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style="thin">
        <color indexed="64"/>
      </right>
      <top style="double">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diagonalUp="1">
      <left style="medium">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medium">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medium">
        <color indexed="64"/>
      </left>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double">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right style="medium">
        <color indexed="64"/>
      </right>
      <top/>
      <bottom style="double">
        <color indexed="64"/>
      </bottom>
      <diagonal/>
    </border>
    <border>
      <left/>
      <right style="double">
        <color indexed="64"/>
      </right>
      <top/>
      <bottom/>
      <diagonal/>
    </border>
    <border>
      <left style="double">
        <color indexed="64"/>
      </left>
      <right/>
      <top/>
      <bottom/>
      <diagonal/>
    </border>
    <border diagonalUp="1">
      <left style="medium">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thin">
        <color indexed="64"/>
      </right>
      <top style="thin">
        <color indexed="64"/>
      </top>
      <bottom style="dashed">
        <color indexed="64"/>
      </bottom>
      <diagonal/>
    </border>
  </borders>
  <cellStyleXfs count="20">
    <xf numFmtId="0" fontId="0"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39" fillId="0" borderId="0"/>
    <xf numFmtId="0" fontId="9" fillId="0" borderId="0">
      <alignment vertical="center"/>
    </xf>
    <xf numFmtId="0" fontId="39" fillId="0" borderId="0"/>
    <xf numFmtId="38"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11" fillId="0" borderId="0">
      <alignment vertical="center"/>
    </xf>
    <xf numFmtId="0" fontId="7" fillId="0" borderId="0">
      <alignment vertical="center"/>
    </xf>
    <xf numFmtId="0" fontId="39" fillId="0" borderId="0"/>
    <xf numFmtId="0" fontId="63" fillId="0" borderId="0">
      <alignment horizontal="left" vertical="top"/>
    </xf>
    <xf numFmtId="0" fontId="70"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764">
    <xf numFmtId="0" fontId="0" fillId="0" borderId="0" xfId="0">
      <alignment vertical="center"/>
    </xf>
    <xf numFmtId="0" fontId="13" fillId="0" borderId="81" xfId="0" applyFont="1" applyFill="1" applyBorder="1" applyAlignment="1" applyProtection="1">
      <alignment horizontal="center" vertical="center"/>
    </xf>
    <xf numFmtId="0" fontId="13" fillId="0" borderId="53" xfId="0" applyFont="1" applyFill="1" applyBorder="1" applyAlignment="1" applyProtection="1">
      <alignment horizontal="center" vertical="center"/>
    </xf>
    <xf numFmtId="38" fontId="13" fillId="0" borderId="53" xfId="1" applyFont="1" applyFill="1" applyBorder="1" applyAlignment="1" applyProtection="1">
      <alignment horizontal="center" vertical="center"/>
    </xf>
    <xf numFmtId="0" fontId="13" fillId="0" borderId="59" xfId="0" applyFont="1" applyFill="1" applyBorder="1" applyAlignment="1" applyProtection="1">
      <alignment horizontal="center" vertical="center"/>
    </xf>
    <xf numFmtId="0" fontId="28" fillId="9" borderId="4" xfId="0" applyFont="1" applyFill="1" applyBorder="1" applyAlignment="1">
      <alignment horizontal="left" vertical="center" wrapText="1"/>
    </xf>
    <xf numFmtId="179" fontId="28" fillId="9" borderId="4" xfId="0" applyNumberFormat="1" applyFont="1" applyFill="1" applyBorder="1" applyAlignment="1">
      <alignment horizontal="left" vertical="center" wrapText="1"/>
    </xf>
    <xf numFmtId="179" fontId="28" fillId="9" borderId="4" xfId="0" applyNumberFormat="1" applyFont="1" applyFill="1" applyBorder="1" applyAlignment="1">
      <alignment horizontal="center" vertical="center" wrapText="1"/>
    </xf>
    <xf numFmtId="179" fontId="28" fillId="10" borderId="4" xfId="0" applyNumberFormat="1" applyFont="1" applyFill="1" applyBorder="1" applyAlignment="1">
      <alignment horizontal="left" vertical="center" wrapText="1"/>
    </xf>
    <xf numFmtId="179" fontId="28" fillId="10" borderId="4" xfId="0" applyNumberFormat="1" applyFont="1" applyFill="1" applyBorder="1" applyAlignment="1">
      <alignment horizontal="center" vertical="center" wrapText="1"/>
    </xf>
    <xf numFmtId="180" fontId="28" fillId="9" borderId="4" xfId="0" applyNumberFormat="1" applyFont="1" applyFill="1" applyBorder="1" applyAlignment="1">
      <alignment horizontal="left" vertical="center" wrapText="1"/>
    </xf>
    <xf numFmtId="180" fontId="28" fillId="9" borderId="4" xfId="0" applyNumberFormat="1" applyFont="1" applyFill="1" applyBorder="1" applyAlignment="1">
      <alignment horizontal="center" vertical="center" wrapText="1"/>
    </xf>
    <xf numFmtId="180" fontId="28" fillId="10" borderId="4" xfId="0" applyNumberFormat="1" applyFont="1" applyFill="1" applyBorder="1" applyAlignment="1">
      <alignment horizontal="left" vertical="center" wrapText="1"/>
    </xf>
    <xf numFmtId="180" fontId="28" fillId="10" borderId="4" xfId="0" applyNumberFormat="1" applyFont="1" applyFill="1" applyBorder="1" applyAlignment="1">
      <alignment horizontal="center" vertical="center" wrapText="1"/>
    </xf>
    <xf numFmtId="0" fontId="28" fillId="9" borderId="4" xfId="0" applyFont="1" applyFill="1" applyBorder="1" applyAlignment="1">
      <alignment horizontal="left" vertical="center" shrinkToFit="1"/>
    </xf>
    <xf numFmtId="0" fontId="28" fillId="10" borderId="4" xfId="0" applyFont="1" applyFill="1" applyBorder="1" applyAlignment="1">
      <alignment horizontal="left" vertical="center" wrapText="1"/>
    </xf>
    <xf numFmtId="0" fontId="29" fillId="0" borderId="4" xfId="0" applyFont="1" applyBorder="1">
      <alignment vertical="center"/>
    </xf>
    <xf numFmtId="0" fontId="28" fillId="9" borderId="4" xfId="0" applyFont="1" applyFill="1" applyBorder="1" applyAlignment="1">
      <alignment horizontal="left" vertical="center" wrapText="1" indent="1"/>
    </xf>
    <xf numFmtId="179" fontId="28" fillId="11" borderId="4" xfId="0" applyNumberFormat="1" applyFont="1" applyFill="1" applyBorder="1" applyAlignment="1">
      <alignment horizontal="left" vertical="center" wrapText="1"/>
    </xf>
    <xf numFmtId="179" fontId="28" fillId="11" borderId="4" xfId="0" applyNumberFormat="1" applyFont="1" applyFill="1" applyBorder="1" applyAlignment="1">
      <alignment horizontal="center" vertical="center" wrapText="1"/>
    </xf>
    <xf numFmtId="179" fontId="28" fillId="12" borderId="4" xfId="0" applyNumberFormat="1" applyFont="1" applyFill="1" applyBorder="1" applyAlignment="1">
      <alignment horizontal="left" vertical="center" wrapText="1"/>
    </xf>
    <xf numFmtId="179" fontId="28" fillId="12" borderId="4" xfId="0" applyNumberFormat="1" applyFont="1" applyFill="1" applyBorder="1" applyAlignment="1">
      <alignment horizontal="center" vertical="center" wrapText="1"/>
    </xf>
    <xf numFmtId="0" fontId="0" fillId="0" borderId="0" xfId="0" applyFill="1" applyBorder="1">
      <alignment vertical="center"/>
    </xf>
    <xf numFmtId="0" fontId="28" fillId="9" borderId="4" xfId="0" applyFont="1" applyFill="1" applyBorder="1" applyAlignment="1">
      <alignment horizontal="left" vertical="center" wrapText="1" indent="2"/>
    </xf>
    <xf numFmtId="179" fontId="28" fillId="9" borderId="4" xfId="0" applyNumberFormat="1" applyFont="1" applyFill="1" applyBorder="1" applyAlignment="1">
      <alignment horizontal="left" vertical="center" wrapText="1" indent="2"/>
    </xf>
    <xf numFmtId="0" fontId="15" fillId="0" borderId="135"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3" fillId="0" borderId="136" xfId="0" applyFont="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Border="1" applyAlignment="1" applyProtection="1">
      <alignment vertical="center"/>
    </xf>
    <xf numFmtId="0" fontId="13" fillId="0" borderId="135" xfId="0" applyFont="1" applyBorder="1" applyProtection="1">
      <alignment vertical="center"/>
    </xf>
    <xf numFmtId="0" fontId="13" fillId="0" borderId="12" xfId="0" applyFont="1" applyBorder="1" applyProtection="1">
      <alignment vertical="center"/>
    </xf>
    <xf numFmtId="0" fontId="13" fillId="0" borderId="1" xfId="0" applyFont="1" applyBorder="1" applyProtection="1">
      <alignment vertical="center"/>
    </xf>
    <xf numFmtId="0" fontId="13" fillId="0" borderId="2" xfId="0" applyFont="1" applyBorder="1" applyProtection="1">
      <alignment vertical="center"/>
    </xf>
    <xf numFmtId="0" fontId="13" fillId="0" borderId="136" xfId="0" applyFont="1" applyBorder="1" applyProtection="1">
      <alignment vertical="center"/>
    </xf>
    <xf numFmtId="0" fontId="13" fillId="0" borderId="25" xfId="0" applyFont="1" applyBorder="1" applyProtection="1">
      <alignment vertical="center"/>
    </xf>
    <xf numFmtId="0" fontId="13" fillId="0" borderId="0" xfId="0" applyFont="1" applyFill="1" applyBorder="1" applyProtection="1">
      <alignment vertical="center"/>
    </xf>
    <xf numFmtId="0" fontId="13" fillId="0" borderId="11" xfId="0" applyFont="1" applyFill="1" applyBorder="1" applyProtection="1">
      <alignment vertical="center"/>
    </xf>
    <xf numFmtId="0" fontId="13" fillId="0" borderId="0" xfId="0" applyFont="1" applyBorder="1" applyProtection="1">
      <alignment vertical="center"/>
    </xf>
    <xf numFmtId="0" fontId="13" fillId="0" borderId="7" xfId="0" applyFont="1" applyBorder="1" applyProtection="1">
      <alignment vertical="center"/>
    </xf>
    <xf numFmtId="0" fontId="13" fillId="0" borderId="8" xfId="0" applyFont="1" applyBorder="1" applyProtection="1">
      <alignment vertical="center"/>
    </xf>
    <xf numFmtId="0" fontId="13" fillId="0" borderId="8" xfId="0" applyFont="1" applyFill="1" applyBorder="1" applyProtection="1">
      <alignment vertical="center"/>
    </xf>
    <xf numFmtId="0" fontId="13" fillId="0" borderId="13" xfId="0" applyFont="1" applyBorder="1" applyProtection="1">
      <alignment vertical="center"/>
    </xf>
    <xf numFmtId="0" fontId="13" fillId="0" borderId="135" xfId="0" applyFont="1" applyFill="1" applyBorder="1" applyProtection="1">
      <alignment vertical="center"/>
    </xf>
    <xf numFmtId="0" fontId="25" fillId="0" borderId="0" xfId="0" applyFont="1" applyFill="1" applyBorder="1" applyAlignment="1" applyProtection="1">
      <alignment vertical="center"/>
    </xf>
    <xf numFmtId="0" fontId="25" fillId="0" borderId="40" xfId="0" applyFont="1" applyFill="1" applyBorder="1" applyAlignment="1" applyProtection="1">
      <alignment horizontal="center" vertical="center" shrinkToFit="1"/>
    </xf>
    <xf numFmtId="0" fontId="13" fillId="0" borderId="2" xfId="0" applyFont="1" applyFill="1" applyBorder="1" applyProtection="1">
      <alignment vertical="center"/>
    </xf>
    <xf numFmtId="0" fontId="16" fillId="0" borderId="25" xfId="0" applyFont="1" applyFill="1" applyBorder="1" applyAlignment="1" applyProtection="1">
      <alignment horizontal="center" vertical="center"/>
    </xf>
    <xf numFmtId="0" fontId="16" fillId="0" borderId="7" xfId="0" applyFont="1" applyFill="1" applyBorder="1" applyAlignment="1" applyProtection="1">
      <alignment vertical="center" wrapText="1"/>
    </xf>
    <xf numFmtId="0" fontId="13" fillId="0" borderId="137" xfId="0" applyFont="1" applyBorder="1" applyProtection="1">
      <alignment vertical="center"/>
    </xf>
    <xf numFmtId="0" fontId="13" fillId="0" borderId="138" xfId="0" applyFont="1" applyFill="1" applyBorder="1" applyProtection="1">
      <alignment vertical="center"/>
    </xf>
    <xf numFmtId="0" fontId="16" fillId="0" borderId="138" xfId="0" applyFont="1" applyFill="1" applyBorder="1" applyAlignment="1" applyProtection="1">
      <alignment vertical="center" wrapText="1"/>
    </xf>
    <xf numFmtId="0" fontId="16" fillId="0" borderId="138" xfId="0" applyFont="1" applyFill="1" applyBorder="1" applyAlignment="1" applyProtection="1">
      <alignment horizontal="left" vertical="center" wrapText="1"/>
    </xf>
    <xf numFmtId="0" fontId="13" fillId="0" borderId="139" xfId="0" applyFont="1" applyBorder="1" applyProtection="1">
      <alignment vertical="center"/>
    </xf>
    <xf numFmtId="0" fontId="13" fillId="0" borderId="0" xfId="0" applyFont="1" applyProtection="1">
      <alignment vertical="center"/>
    </xf>
    <xf numFmtId="0" fontId="13" fillId="0" borderId="0" xfId="0" applyFont="1" applyFill="1" applyProtection="1">
      <alignment vertical="center"/>
    </xf>
    <xf numFmtId="0" fontId="16" fillId="0" borderId="0" xfId="0" applyFont="1" applyFill="1" applyBorder="1" applyAlignment="1" applyProtection="1">
      <alignment vertical="center" wrapText="1"/>
    </xf>
    <xf numFmtId="0" fontId="13" fillId="0" borderId="0" xfId="0" applyFont="1" applyFill="1" applyBorder="1" applyAlignment="1" applyProtection="1">
      <alignment horizontal="center" vertical="center" textRotation="255"/>
    </xf>
    <xf numFmtId="38" fontId="13" fillId="0" borderId="0" xfId="1" applyFont="1" applyFill="1" applyBorder="1" applyAlignment="1" applyProtection="1">
      <alignment horizontal="center" vertical="center"/>
    </xf>
    <xf numFmtId="38" fontId="13" fillId="0" borderId="0" xfId="0" applyNumberFormat="1"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12" fillId="0" borderId="132" xfId="0" applyFont="1" applyFill="1" applyBorder="1" applyProtection="1">
      <alignment vertical="center"/>
    </xf>
    <xf numFmtId="0" fontId="13" fillId="0" borderId="133" xfId="0" applyFont="1" applyFill="1" applyBorder="1" applyProtection="1">
      <alignment vertical="center"/>
    </xf>
    <xf numFmtId="0" fontId="26" fillId="0" borderId="135" xfId="0" applyFont="1" applyFill="1" applyBorder="1" applyAlignment="1" applyProtection="1">
      <alignment horizontal="left" vertical="center" indent="2"/>
    </xf>
    <xf numFmtId="0" fontId="13" fillId="0" borderId="136" xfId="0" applyFont="1" applyFill="1" applyBorder="1" applyProtection="1">
      <alignment vertical="center"/>
    </xf>
    <xf numFmtId="0" fontId="15" fillId="0" borderId="0" xfId="0" applyFont="1" applyFill="1" applyBorder="1" applyAlignment="1" applyProtection="1">
      <alignment vertical="center"/>
    </xf>
    <xf numFmtId="0" fontId="13" fillId="0" borderId="0" xfId="0" applyFont="1" applyFill="1" applyAlignment="1" applyProtection="1">
      <alignment vertical="center"/>
    </xf>
    <xf numFmtId="0" fontId="15" fillId="0" borderId="0" xfId="0" applyFont="1" applyFill="1" applyBorder="1" applyAlignment="1" applyProtection="1">
      <alignment horizontal="left" vertical="center" shrinkToFit="1"/>
    </xf>
    <xf numFmtId="0" fontId="13" fillId="0" borderId="10" xfId="0" applyFont="1" applyFill="1" applyBorder="1" applyAlignment="1" applyProtection="1">
      <alignment horizontal="right" vertical="center"/>
    </xf>
    <xf numFmtId="0" fontId="13" fillId="0" borderId="13" xfId="0" applyFont="1" applyFill="1" applyBorder="1" applyProtection="1">
      <alignment vertical="center"/>
    </xf>
    <xf numFmtId="0" fontId="13" fillId="0" borderId="0" xfId="0" applyFont="1" applyFill="1" applyAlignment="1" applyProtection="1">
      <alignment horizontal="right" vertical="center"/>
    </xf>
    <xf numFmtId="0" fontId="13" fillId="0" borderId="0" xfId="0" applyFont="1" applyFill="1" applyAlignment="1" applyProtection="1">
      <alignment horizontal="left" vertical="center"/>
    </xf>
    <xf numFmtId="0" fontId="13" fillId="0" borderId="0" xfId="0" applyFont="1" applyFill="1" applyAlignment="1" applyProtection="1">
      <alignment horizontal="center" vertical="center" wrapText="1"/>
    </xf>
    <xf numFmtId="0" fontId="17" fillId="0" borderId="0" xfId="0" applyFont="1" applyFill="1" applyProtection="1">
      <alignment vertical="center"/>
    </xf>
    <xf numFmtId="0" fontId="13" fillId="0" borderId="0" xfId="0" applyFont="1" applyAlignment="1" applyProtection="1">
      <alignment vertical="center"/>
    </xf>
    <xf numFmtId="0" fontId="13" fillId="0" borderId="0" xfId="0" applyFont="1" applyAlignment="1" applyProtection="1">
      <alignment horizontal="center" vertical="center"/>
    </xf>
    <xf numFmtId="0" fontId="13" fillId="2" borderId="97" xfId="0" applyFont="1" applyFill="1" applyBorder="1" applyAlignment="1" applyProtection="1">
      <alignment horizontal="center" vertical="center"/>
    </xf>
    <xf numFmtId="0" fontId="13" fillId="2" borderId="100" xfId="0" applyFont="1" applyFill="1" applyBorder="1" applyAlignment="1" applyProtection="1">
      <alignment horizontal="center" vertical="center"/>
    </xf>
    <xf numFmtId="0" fontId="13" fillId="0" borderId="0" xfId="0" applyFont="1" applyAlignment="1" applyProtection="1">
      <alignment horizontal="left" vertical="center"/>
    </xf>
    <xf numFmtId="0" fontId="13" fillId="0" borderId="0" xfId="0" applyFont="1" applyFill="1" applyAlignment="1" applyProtection="1">
      <alignment horizontal="center" vertical="top"/>
    </xf>
    <xf numFmtId="177" fontId="13" fillId="0" borderId="0" xfId="0" applyNumberFormat="1" applyFont="1" applyFill="1" applyBorder="1" applyAlignment="1" applyProtection="1">
      <alignment horizontal="center" vertical="center"/>
    </xf>
    <xf numFmtId="176" fontId="13" fillId="0" borderId="0" xfId="0" applyNumberFormat="1" applyFont="1" applyFill="1" applyBorder="1" applyAlignment="1" applyProtection="1">
      <alignment horizontal="center" vertical="center"/>
    </xf>
    <xf numFmtId="0" fontId="13" fillId="4" borderId="25" xfId="0" applyFont="1" applyFill="1" applyBorder="1" applyProtection="1">
      <alignment vertical="center"/>
    </xf>
    <xf numFmtId="0" fontId="13" fillId="0" borderId="32" xfId="0" applyFont="1" applyFill="1" applyBorder="1" applyAlignment="1" applyProtection="1">
      <alignment horizontal="center" vertical="center"/>
    </xf>
    <xf numFmtId="0" fontId="13" fillId="0" borderId="83" xfId="0" applyFont="1" applyFill="1" applyBorder="1" applyAlignment="1" applyProtection="1">
      <alignment horizontal="center" vertical="center"/>
    </xf>
    <xf numFmtId="0" fontId="23" fillId="0" borderId="0" xfId="0" applyFont="1" applyFill="1" applyAlignment="1" applyProtection="1">
      <alignment horizontal="left" vertical="center"/>
    </xf>
    <xf numFmtId="0" fontId="13" fillId="2" borderId="0" xfId="0" applyFont="1" applyFill="1" applyProtection="1">
      <alignment vertical="center"/>
    </xf>
    <xf numFmtId="0" fontId="13" fillId="2" borderId="28" xfId="0" applyFont="1" applyFill="1" applyBorder="1" applyAlignment="1" applyProtection="1">
      <alignment horizontal="left" vertical="center"/>
    </xf>
    <xf numFmtId="0" fontId="13" fillId="2" borderId="125" xfId="0" applyFont="1" applyFill="1" applyBorder="1" applyAlignment="1" applyProtection="1">
      <alignment horizontal="left" vertical="center"/>
    </xf>
    <xf numFmtId="0" fontId="13" fillId="2" borderId="31" xfId="0" applyFont="1" applyFill="1" applyBorder="1" applyAlignment="1" applyProtection="1">
      <alignment horizontal="left" vertical="center"/>
    </xf>
    <xf numFmtId="0" fontId="13" fillId="2" borderId="129" xfId="0" applyFont="1" applyFill="1" applyBorder="1" applyAlignment="1" applyProtection="1">
      <alignment horizontal="left" vertical="center"/>
    </xf>
    <xf numFmtId="0" fontId="23" fillId="0" borderId="0" xfId="0" applyFont="1" applyFill="1" applyProtection="1">
      <alignment vertical="center"/>
    </xf>
    <xf numFmtId="0" fontId="13" fillId="2" borderId="34" xfId="0" applyFont="1" applyFill="1" applyBorder="1" applyAlignment="1" applyProtection="1">
      <alignment horizontal="left" vertical="center"/>
    </xf>
    <xf numFmtId="0" fontId="13" fillId="2" borderId="128" xfId="0" applyFont="1" applyFill="1" applyBorder="1" applyAlignment="1" applyProtection="1">
      <alignment horizontal="left" vertical="center"/>
    </xf>
    <xf numFmtId="0" fontId="13" fillId="0" borderId="0" xfId="0" applyFont="1" applyFill="1" applyBorder="1" applyAlignment="1" applyProtection="1">
      <alignment vertical="center" wrapText="1"/>
    </xf>
    <xf numFmtId="0" fontId="22" fillId="0" borderId="0" xfId="0" applyFont="1" applyFill="1" applyBorder="1" applyAlignment="1" applyProtection="1">
      <alignment horizontal="center" vertical="center"/>
    </xf>
    <xf numFmtId="0" fontId="13" fillId="0" borderId="0" xfId="0" applyFont="1" applyFill="1" applyBorder="1" applyAlignment="1" applyProtection="1">
      <alignment horizontal="left"/>
    </xf>
    <xf numFmtId="0" fontId="15" fillId="0" borderId="0" xfId="0" applyFont="1" applyFill="1" applyBorder="1" applyAlignment="1" applyProtection="1">
      <alignment horizontal="center" vertical="center" textRotation="255"/>
    </xf>
    <xf numFmtId="0" fontId="15" fillId="0" borderId="0" xfId="0" applyFont="1" applyFill="1" applyBorder="1" applyAlignment="1" applyProtection="1">
      <alignment horizontal="center" vertical="center" wrapText="1"/>
    </xf>
    <xf numFmtId="0" fontId="13" fillId="0" borderId="0" xfId="0" applyFont="1" applyFill="1" applyBorder="1" applyAlignment="1" applyProtection="1">
      <alignment vertical="center" shrinkToFit="1"/>
    </xf>
    <xf numFmtId="0" fontId="13" fillId="2" borderId="116" xfId="0" applyFont="1" applyFill="1" applyBorder="1" applyAlignment="1" applyProtection="1">
      <alignment horizontal="center" vertical="center"/>
      <protection locked="0"/>
    </xf>
    <xf numFmtId="0" fontId="13" fillId="2" borderId="117" xfId="0" applyFont="1" applyFill="1" applyBorder="1" applyAlignment="1" applyProtection="1">
      <alignment horizontal="center" vertical="center"/>
    </xf>
    <xf numFmtId="0" fontId="13" fillId="2" borderId="115" xfId="0" applyFont="1" applyFill="1" applyBorder="1" applyAlignment="1" applyProtection="1">
      <alignment horizontal="center" vertical="center"/>
      <protection locked="0"/>
    </xf>
    <xf numFmtId="0" fontId="13" fillId="2" borderId="32" xfId="0" applyFont="1" applyFill="1" applyBorder="1" applyAlignment="1" applyProtection="1">
      <alignment horizontal="center" vertical="center"/>
      <protection locked="0"/>
    </xf>
    <xf numFmtId="0" fontId="13" fillId="2" borderId="34" xfId="0" applyFont="1" applyFill="1" applyBorder="1" applyAlignment="1" applyProtection="1">
      <alignment horizontal="center" vertical="center"/>
    </xf>
    <xf numFmtId="0" fontId="13" fillId="2" borderId="33" xfId="0" applyFont="1" applyFill="1" applyBorder="1" applyAlignment="1" applyProtection="1">
      <alignment horizontal="center" vertical="center"/>
    </xf>
    <xf numFmtId="0" fontId="13" fillId="0" borderId="157" xfId="0" applyFont="1" applyBorder="1" applyAlignment="1" applyProtection="1">
      <alignment horizontal="center" vertical="center"/>
    </xf>
    <xf numFmtId="0" fontId="13" fillId="2" borderId="27" xfId="0" applyFont="1" applyFill="1" applyBorder="1" applyAlignment="1" applyProtection="1">
      <alignment horizontal="center" vertical="center"/>
      <protection locked="0"/>
    </xf>
    <xf numFmtId="0" fontId="13" fillId="2" borderId="28" xfId="0" applyFont="1" applyFill="1" applyBorder="1" applyAlignment="1" applyProtection="1">
      <alignment horizontal="center" vertical="center"/>
    </xf>
    <xf numFmtId="0" fontId="13" fillId="2" borderId="26" xfId="0" applyFont="1" applyFill="1" applyBorder="1" applyAlignment="1" applyProtection="1">
      <alignment horizontal="center" vertical="center"/>
      <protection locked="0"/>
    </xf>
    <xf numFmtId="0" fontId="13" fillId="2" borderId="27" xfId="0" applyFont="1" applyFill="1" applyBorder="1" applyAlignment="1" applyProtection="1">
      <alignment horizontal="center" vertical="center"/>
    </xf>
    <xf numFmtId="0" fontId="13" fillId="0" borderId="122" xfId="0" applyFont="1" applyBorder="1" applyAlignment="1" applyProtection="1">
      <alignment horizontal="center" vertical="center"/>
    </xf>
    <xf numFmtId="0" fontId="13" fillId="2" borderId="102" xfId="0" applyFont="1" applyFill="1" applyBorder="1" applyAlignment="1" applyProtection="1">
      <alignment horizontal="center" vertical="center"/>
      <protection locked="0"/>
    </xf>
    <xf numFmtId="0" fontId="13" fillId="2" borderId="103" xfId="0" applyFont="1" applyFill="1" applyBorder="1" applyAlignment="1" applyProtection="1">
      <alignment horizontal="center" vertical="center"/>
    </xf>
    <xf numFmtId="0" fontId="13" fillId="2" borderId="101" xfId="0" applyFont="1" applyFill="1" applyBorder="1" applyAlignment="1" applyProtection="1">
      <alignment horizontal="center" vertical="center"/>
      <protection locked="0"/>
    </xf>
    <xf numFmtId="0" fontId="13" fillId="2" borderId="102" xfId="0" applyFont="1" applyFill="1" applyBorder="1" applyAlignment="1" applyProtection="1">
      <alignment horizontal="center" vertical="center"/>
    </xf>
    <xf numFmtId="0" fontId="13" fillId="0" borderId="158" xfId="0" applyFont="1" applyBorder="1" applyAlignment="1" applyProtection="1">
      <alignment horizontal="center" vertical="center"/>
    </xf>
    <xf numFmtId="0" fontId="30" fillId="0" borderId="0" xfId="0" applyFont="1" applyFill="1" applyBorder="1" applyAlignment="1" applyProtection="1">
      <alignment vertical="center"/>
    </xf>
    <xf numFmtId="0" fontId="13" fillId="0" borderId="34" xfId="0" applyFont="1" applyBorder="1" applyAlignment="1" applyProtection="1">
      <alignment horizontal="center" vertical="center"/>
    </xf>
    <xf numFmtId="0" fontId="13" fillId="0" borderId="28" xfId="0" applyFont="1" applyBorder="1" applyAlignment="1" applyProtection="1">
      <alignment horizontal="center" vertical="center"/>
    </xf>
    <xf numFmtId="0" fontId="13" fillId="0" borderId="103" xfId="0" applyFont="1" applyBorder="1" applyAlignment="1" applyProtection="1">
      <alignment horizontal="center" vertical="center"/>
    </xf>
    <xf numFmtId="0" fontId="13" fillId="2" borderId="84" xfId="0" applyFont="1" applyFill="1" applyBorder="1" applyAlignment="1" applyProtection="1">
      <alignment horizontal="center" vertical="center"/>
    </xf>
    <xf numFmtId="0" fontId="13" fillId="2" borderId="85" xfId="0" applyFont="1" applyFill="1" applyBorder="1" applyAlignment="1" applyProtection="1">
      <alignment horizontal="center" vertical="center"/>
    </xf>
    <xf numFmtId="0" fontId="13" fillId="0" borderId="149" xfId="0" applyFont="1" applyBorder="1" applyAlignment="1" applyProtection="1">
      <alignment horizontal="center" vertical="center"/>
    </xf>
    <xf numFmtId="0" fontId="13" fillId="0" borderId="85" xfId="0" applyFont="1" applyBorder="1" applyAlignment="1" applyProtection="1">
      <alignment horizontal="center" vertical="center"/>
    </xf>
    <xf numFmtId="0" fontId="13" fillId="0" borderId="0" xfId="0" applyFont="1" applyFill="1" applyBorder="1" applyAlignment="1" applyProtection="1">
      <alignment horizontal="left" vertical="center" wrapText="1" indent="2"/>
    </xf>
    <xf numFmtId="0" fontId="13" fillId="0" borderId="0" xfId="0" applyFont="1" applyFill="1" applyBorder="1" applyAlignment="1" applyProtection="1"/>
    <xf numFmtId="0" fontId="13" fillId="0" borderId="0" xfId="0" applyFont="1" applyFill="1" applyBorder="1" applyAlignment="1" applyProtection="1">
      <alignment horizontal="center"/>
    </xf>
    <xf numFmtId="0" fontId="13" fillId="0" borderId="0" xfId="0" applyFont="1" applyFill="1" applyBorder="1" applyAlignment="1" applyProtection="1">
      <alignment horizontal="center" vertical="center" shrinkToFit="1"/>
    </xf>
    <xf numFmtId="0" fontId="13" fillId="0" borderId="162" xfId="0" applyFont="1" applyFill="1" applyBorder="1" applyAlignment="1" applyProtection="1">
      <alignment horizontal="center" vertical="center"/>
    </xf>
    <xf numFmtId="0" fontId="13" fillId="4" borderId="97" xfId="0" applyFont="1" applyFill="1" applyBorder="1" applyProtection="1">
      <alignment vertical="center"/>
    </xf>
    <xf numFmtId="0" fontId="13" fillId="0" borderId="38" xfId="0" applyFont="1" applyBorder="1" applyAlignment="1" applyProtection="1">
      <alignment horizontal="center" vertical="center"/>
    </xf>
    <xf numFmtId="0" fontId="13" fillId="0" borderId="21" xfId="0" applyFont="1" applyFill="1" applyBorder="1" applyAlignment="1" applyProtection="1">
      <alignment horizontal="center" vertical="center" wrapText="1"/>
    </xf>
    <xf numFmtId="0" fontId="13" fillId="0" borderId="3" xfId="0" applyFont="1" applyBorder="1" applyProtection="1">
      <alignment vertical="center"/>
    </xf>
    <xf numFmtId="0" fontId="12" fillId="0" borderId="0" xfId="0" applyFont="1" applyFill="1" applyProtection="1">
      <alignment vertical="center"/>
    </xf>
    <xf numFmtId="0" fontId="12" fillId="0" borderId="0" xfId="0" applyFont="1" applyFill="1" applyAlignment="1" applyProtection="1">
      <alignment vertical="center"/>
    </xf>
    <xf numFmtId="0" fontId="35" fillId="0" borderId="0" xfId="0" applyFont="1" applyFill="1" applyAlignment="1" applyProtection="1">
      <alignment vertical="center"/>
    </xf>
    <xf numFmtId="0" fontId="35" fillId="0" borderId="0" xfId="0" applyFont="1" applyFill="1" applyBorder="1" applyAlignment="1" applyProtection="1">
      <alignment horizontal="center" vertical="center" shrinkToFit="1"/>
    </xf>
    <xf numFmtId="0" fontId="12" fillId="0" borderId="0" xfId="0" applyFont="1" applyProtection="1">
      <alignment vertical="center"/>
    </xf>
    <xf numFmtId="0" fontId="36" fillId="0" borderId="0" xfId="0" applyFont="1" applyFill="1" applyBorder="1" applyAlignment="1" applyProtection="1">
      <alignment horizontal="justify" vertical="center"/>
    </xf>
    <xf numFmtId="0" fontId="12" fillId="0" borderId="0" xfId="0" applyFont="1" applyFill="1" applyBorder="1" applyProtection="1">
      <alignment vertical="center"/>
    </xf>
    <xf numFmtId="0" fontId="12"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36" fillId="0" borderId="0" xfId="0" applyFont="1" applyAlignment="1" applyProtection="1">
      <alignment horizontal="left" vertical="center"/>
    </xf>
    <xf numFmtId="0" fontId="25" fillId="0" borderId="0" xfId="0" applyFont="1" applyFill="1" applyAlignment="1" applyProtection="1">
      <alignment vertical="center"/>
    </xf>
    <xf numFmtId="0" fontId="25" fillId="0" borderId="0" xfId="0" applyFont="1" applyFill="1" applyBorder="1" applyAlignment="1" applyProtection="1">
      <alignment horizontal="center" vertical="center" shrinkToFit="1"/>
    </xf>
    <xf numFmtId="0" fontId="36" fillId="0" borderId="0" xfId="0" applyFont="1" applyAlignment="1" applyProtection="1">
      <alignment horizontal="justify" vertical="center"/>
    </xf>
    <xf numFmtId="0" fontId="13" fillId="0" borderId="14" xfId="0" applyFont="1" applyFill="1" applyBorder="1" applyProtection="1">
      <alignment vertical="center"/>
    </xf>
    <xf numFmtId="0" fontId="13" fillId="0" borderId="15" xfId="0" applyFont="1" applyFill="1" applyBorder="1" applyProtection="1">
      <alignment vertical="center"/>
    </xf>
    <xf numFmtId="0" fontId="13" fillId="0" borderId="1" xfId="0" applyFont="1" applyFill="1" applyBorder="1" applyProtection="1">
      <alignment vertical="center"/>
    </xf>
    <xf numFmtId="0" fontId="13" fillId="0" borderId="7" xfId="0" applyFont="1" applyFill="1" applyBorder="1" applyProtection="1">
      <alignment vertical="center"/>
    </xf>
    <xf numFmtId="0" fontId="13" fillId="0" borderId="7" xfId="0" applyFont="1" applyFill="1" applyBorder="1" applyAlignment="1" applyProtection="1">
      <alignment vertical="center" wrapText="1"/>
    </xf>
    <xf numFmtId="0" fontId="12" fillId="4" borderId="12" xfId="0" applyFont="1" applyFill="1" applyBorder="1" applyAlignment="1" applyProtection="1">
      <alignment vertical="center"/>
    </xf>
    <xf numFmtId="0" fontId="12" fillId="4" borderId="1" xfId="0" applyFont="1" applyFill="1" applyBorder="1" applyAlignment="1" applyProtection="1">
      <alignment vertical="center"/>
    </xf>
    <xf numFmtId="0" fontId="12" fillId="4" borderId="2" xfId="0" applyFont="1" applyFill="1" applyBorder="1" applyAlignment="1" applyProtection="1">
      <alignment vertical="center"/>
    </xf>
    <xf numFmtId="0" fontId="12"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12" fillId="4" borderId="13" xfId="0" applyFont="1" applyFill="1" applyBorder="1" applyAlignment="1" applyProtection="1">
      <alignment vertical="center"/>
    </xf>
    <xf numFmtId="0" fontId="15" fillId="0" borderId="8" xfId="0" applyFont="1" applyFill="1" applyBorder="1" applyAlignment="1" applyProtection="1">
      <alignment horizontal="left" vertical="center"/>
    </xf>
    <xf numFmtId="0" fontId="13" fillId="0" borderId="8" xfId="0" applyFont="1" applyFill="1" applyBorder="1" applyAlignment="1" applyProtection="1">
      <alignment horizontal="center" vertical="center"/>
    </xf>
    <xf numFmtId="0" fontId="39" fillId="0" borderId="0" xfId="3"/>
    <xf numFmtId="0" fontId="0" fillId="0" borderId="0" xfId="0" applyAlignment="1">
      <alignment horizontal="center" vertical="center"/>
    </xf>
    <xf numFmtId="0" fontId="0" fillId="0" borderId="0" xfId="0" applyAlignment="1">
      <alignment vertical="center"/>
    </xf>
    <xf numFmtId="0" fontId="41" fillId="0" borderId="0" xfId="3" applyFont="1" applyAlignment="1"/>
    <xf numFmtId="0" fontId="39" fillId="0" borderId="0" xfId="3" applyFont="1"/>
    <xf numFmtId="0" fontId="0" fillId="0" borderId="4" xfId="0" applyBorder="1" applyAlignment="1">
      <alignment horizontal="center" vertical="center"/>
    </xf>
    <xf numFmtId="0" fontId="0" fillId="0" borderId="4" xfId="0" applyBorder="1" applyAlignment="1">
      <alignment vertical="center" wrapText="1"/>
    </xf>
    <xf numFmtId="0" fontId="47" fillId="0" borderId="0" xfId="3" applyFont="1"/>
    <xf numFmtId="0" fontId="0" fillId="0" borderId="4" xfId="0" applyBorder="1" applyAlignment="1">
      <alignment vertical="center"/>
    </xf>
    <xf numFmtId="0" fontId="0" fillId="0" borderId="4" xfId="0" applyFill="1" applyBorder="1" applyAlignment="1">
      <alignment vertical="center"/>
    </xf>
    <xf numFmtId="0" fontId="28" fillId="6" borderId="4" xfId="0" applyFont="1" applyFill="1" applyBorder="1" applyAlignment="1">
      <alignment horizontal="center" vertical="center"/>
    </xf>
    <xf numFmtId="0" fontId="0" fillId="0" borderId="0" xfId="0" applyFont="1" applyFill="1" applyAlignment="1">
      <alignment horizontal="center" vertical="center"/>
    </xf>
    <xf numFmtId="0" fontId="32" fillId="6" borderId="4" xfId="0" applyFont="1" applyFill="1" applyBorder="1" applyAlignment="1">
      <alignment horizontal="center" vertical="center"/>
    </xf>
    <xf numFmtId="0" fontId="0" fillId="0" borderId="0" xfId="0" applyFont="1" applyFill="1" applyAlignment="1">
      <alignment vertical="center"/>
    </xf>
    <xf numFmtId="0" fontId="28" fillId="14" borderId="4" xfId="0" applyFont="1" applyFill="1" applyBorder="1" applyAlignment="1">
      <alignment horizontal="left" vertical="center" wrapText="1"/>
    </xf>
    <xf numFmtId="0" fontId="28" fillId="14" borderId="4" xfId="0" applyFont="1" applyFill="1" applyBorder="1" applyAlignment="1">
      <alignment horizontal="left" vertical="center" wrapText="1" indent="2"/>
    </xf>
    <xf numFmtId="0" fontId="28" fillId="14" borderId="4" xfId="0" applyFont="1" applyFill="1" applyBorder="1" applyAlignment="1">
      <alignment vertical="center" wrapText="1"/>
    </xf>
    <xf numFmtId="0" fontId="28" fillId="9" borderId="4" xfId="0" applyFont="1" applyFill="1" applyBorder="1" applyAlignment="1">
      <alignment vertical="center" wrapText="1"/>
    </xf>
    <xf numFmtId="180" fontId="28" fillId="9" borderId="4" xfId="0" applyNumberFormat="1" applyFont="1" applyFill="1" applyBorder="1" applyAlignment="1">
      <alignment horizontal="left" vertical="center" wrapText="1" indent="2"/>
    </xf>
    <xf numFmtId="180" fontId="28" fillId="15" borderId="4" xfId="0" applyNumberFormat="1" applyFont="1" applyFill="1" applyBorder="1" applyAlignment="1">
      <alignment horizontal="left" vertical="center" wrapText="1" indent="2"/>
    </xf>
    <xf numFmtId="180" fontId="28" fillId="15" borderId="4" xfId="0" applyNumberFormat="1" applyFont="1" applyFill="1" applyBorder="1" applyAlignment="1">
      <alignment horizontal="center" vertical="center" wrapText="1"/>
    </xf>
    <xf numFmtId="181" fontId="32" fillId="0" borderId="0" xfId="0" applyNumberFormat="1" applyFont="1" applyFill="1" applyBorder="1" applyAlignment="1">
      <alignment vertical="center"/>
    </xf>
    <xf numFmtId="181" fontId="32" fillId="0" borderId="0" xfId="0" applyNumberFormat="1" applyFont="1" applyFill="1" applyBorder="1" applyAlignment="1">
      <alignment vertical="center" shrinkToFit="1"/>
    </xf>
    <xf numFmtId="0" fontId="38" fillId="0" borderId="0" xfId="0" applyFont="1" applyFill="1" applyBorder="1" applyAlignment="1" applyProtection="1">
      <alignment vertical="center" shrinkToFit="1"/>
    </xf>
    <xf numFmtId="0" fontId="32" fillId="0" borderId="0" xfId="0" applyFont="1" applyFill="1" applyBorder="1" applyAlignment="1">
      <alignment vertical="center" shrinkToFit="1"/>
    </xf>
    <xf numFmtId="181" fontId="32" fillId="16" borderId="4" xfId="0" applyNumberFormat="1" applyFont="1" applyFill="1" applyBorder="1" applyAlignment="1">
      <alignment vertical="center"/>
    </xf>
    <xf numFmtId="181" fontId="32" fillId="16" borderId="4" xfId="0" applyNumberFormat="1" applyFont="1" applyFill="1" applyBorder="1" applyAlignment="1">
      <alignment vertical="center" shrinkToFit="1"/>
    </xf>
    <xf numFmtId="0" fontId="38" fillId="16" borderId="4" xfId="0" applyFont="1" applyFill="1" applyBorder="1" applyAlignment="1" applyProtection="1">
      <alignment vertical="center" shrinkToFit="1"/>
    </xf>
    <xf numFmtId="0" fontId="32" fillId="16" borderId="4" xfId="0" applyFont="1" applyFill="1" applyBorder="1" applyAlignment="1">
      <alignment vertical="center" shrinkToFit="1"/>
    </xf>
    <xf numFmtId="0" fontId="28" fillId="14" borderId="4" xfId="0" applyFont="1" applyFill="1" applyBorder="1" applyAlignment="1">
      <alignment horizontal="center" vertical="center" wrapText="1"/>
    </xf>
    <xf numFmtId="38" fontId="30" fillId="0" borderId="0" xfId="1" applyFont="1" applyFill="1" applyBorder="1" applyAlignment="1" applyProtection="1">
      <alignment vertical="center"/>
    </xf>
    <xf numFmtId="38" fontId="13" fillId="0" borderId="4" xfId="1" applyFont="1" applyFill="1" applyBorder="1" applyAlignment="1" applyProtection="1">
      <alignment horizontal="center" vertical="center"/>
    </xf>
    <xf numFmtId="38" fontId="13" fillId="0" borderId="0" xfId="1" applyFont="1" applyFill="1" applyBorder="1" applyAlignment="1" applyProtection="1">
      <alignment horizontal="left" vertical="center"/>
    </xf>
    <xf numFmtId="38" fontId="13" fillId="0" borderId="0" xfId="1" applyFont="1" applyFill="1" applyBorder="1" applyAlignment="1" applyProtection="1">
      <alignment vertical="center"/>
    </xf>
    <xf numFmtId="0" fontId="13" fillId="0" borderId="15" xfId="0" applyFont="1" applyBorder="1" applyProtection="1">
      <alignment vertical="center"/>
    </xf>
    <xf numFmtId="0" fontId="13" fillId="0" borderId="0" xfId="0" applyFont="1">
      <alignment vertical="center"/>
    </xf>
    <xf numFmtId="0" fontId="13" fillId="0" borderId="0" xfId="0" applyFont="1" applyAlignment="1" applyProtection="1">
      <alignment horizontal="center" vertical="top"/>
    </xf>
    <xf numFmtId="0" fontId="13" fillId="2" borderId="0" xfId="0" applyFont="1" applyFill="1" applyBorder="1" applyAlignment="1" applyProtection="1">
      <alignment horizontal="center" vertical="center"/>
    </xf>
    <xf numFmtId="0" fontId="13" fillId="0" borderId="21" xfId="0" applyFont="1" applyFill="1" applyBorder="1" applyAlignment="1" applyProtection="1">
      <alignment horizontal="center" vertical="center"/>
    </xf>
    <xf numFmtId="0" fontId="15" fillId="7" borderId="0" xfId="0" applyFont="1" applyFill="1" applyBorder="1" applyAlignment="1" applyProtection="1">
      <alignment horizontal="center" vertical="center" textRotation="255"/>
    </xf>
    <xf numFmtId="0" fontId="13" fillId="0" borderId="0" xfId="0" applyFont="1" applyBorder="1" applyAlignment="1" applyProtection="1">
      <alignment horizontal="center" vertical="center" textRotation="255"/>
    </xf>
    <xf numFmtId="0" fontId="15" fillId="0" borderId="0" xfId="0" applyFont="1" applyFill="1" applyBorder="1" applyAlignment="1" applyProtection="1">
      <alignment vertical="center" textRotation="255"/>
    </xf>
    <xf numFmtId="0" fontId="17" fillId="0" borderId="0" xfId="0" applyFont="1" applyFill="1" applyAlignment="1" applyProtection="1">
      <alignment vertical="center"/>
    </xf>
    <xf numFmtId="0" fontId="13" fillId="3" borderId="98" xfId="0" applyFont="1" applyFill="1" applyBorder="1" applyAlignment="1" applyProtection="1">
      <alignment horizontal="center" vertical="center"/>
    </xf>
    <xf numFmtId="0" fontId="0" fillId="3" borderId="0" xfId="0" applyFill="1">
      <alignment vertical="center"/>
    </xf>
    <xf numFmtId="0" fontId="13" fillId="3" borderId="98" xfId="0" applyFont="1" applyFill="1" applyBorder="1" applyAlignment="1" applyProtection="1">
      <alignment horizontal="center" vertical="center" shrinkToFit="1"/>
    </xf>
    <xf numFmtId="0" fontId="13" fillId="3" borderId="94" xfId="0" applyFont="1" applyFill="1" applyBorder="1" applyAlignment="1" applyProtection="1">
      <alignment horizontal="center" vertical="center"/>
    </xf>
    <xf numFmtId="0" fontId="13" fillId="17" borderId="0" xfId="0" applyFont="1" applyFill="1" applyBorder="1" applyAlignment="1" applyProtection="1">
      <alignment horizontal="left" vertical="center"/>
    </xf>
    <xf numFmtId="38" fontId="13" fillId="17" borderId="0" xfId="1" applyFont="1" applyFill="1" applyBorder="1" applyAlignment="1" applyProtection="1">
      <alignment horizontal="center" vertical="center"/>
    </xf>
    <xf numFmtId="0" fontId="13" fillId="17" borderId="0" xfId="0" applyFont="1" applyFill="1" applyBorder="1" applyAlignment="1" applyProtection="1">
      <alignment horizontal="center" vertical="center"/>
    </xf>
    <xf numFmtId="0" fontId="13" fillId="17" borderId="0" xfId="0" applyFont="1" applyFill="1" applyBorder="1" applyAlignment="1" applyProtection="1">
      <alignment horizontal="right" vertical="center"/>
    </xf>
    <xf numFmtId="0" fontId="13" fillId="17" borderId="0" xfId="0" applyFont="1" applyFill="1" applyProtection="1">
      <alignment vertical="center"/>
    </xf>
    <xf numFmtId="0" fontId="15" fillId="17" borderId="0" xfId="0" applyFont="1" applyFill="1" applyBorder="1" applyAlignment="1" applyProtection="1">
      <alignment horizontal="left" vertical="center"/>
    </xf>
    <xf numFmtId="0" fontId="13" fillId="17" borderId="0" xfId="0" applyFont="1" applyFill="1" applyBorder="1" applyProtection="1">
      <alignment vertical="center"/>
    </xf>
    <xf numFmtId="0" fontId="13" fillId="17" borderId="94" xfId="0" applyFont="1" applyFill="1" applyBorder="1" applyAlignment="1" applyProtection="1">
      <alignment horizontal="center" vertical="center"/>
    </xf>
    <xf numFmtId="0" fontId="0" fillId="17" borderId="0" xfId="0" applyFill="1">
      <alignment vertical="center"/>
    </xf>
    <xf numFmtId="0" fontId="13" fillId="17" borderId="153" xfId="0" applyFont="1" applyFill="1" applyBorder="1" applyAlignment="1" applyProtection="1">
      <alignment horizontal="center" vertical="center"/>
    </xf>
    <xf numFmtId="0" fontId="13" fillId="17" borderId="154" xfId="0" applyFont="1" applyFill="1" applyBorder="1" applyAlignment="1" applyProtection="1">
      <alignment horizontal="center" vertical="center"/>
    </xf>
    <xf numFmtId="0" fontId="13" fillId="17" borderId="155" xfId="0" applyFont="1" applyFill="1" applyBorder="1" applyAlignment="1" applyProtection="1">
      <alignment horizontal="center" vertical="center"/>
    </xf>
    <xf numFmtId="0" fontId="13" fillId="17" borderId="156" xfId="0" applyFont="1" applyFill="1" applyBorder="1" applyAlignment="1" applyProtection="1">
      <alignment horizontal="center" vertical="center"/>
    </xf>
    <xf numFmtId="0" fontId="13" fillId="17" borderId="0" xfId="0" applyFont="1" applyFill="1" applyAlignment="1" applyProtection="1">
      <alignment horizontal="center" vertical="center"/>
    </xf>
    <xf numFmtId="0" fontId="13" fillId="17" borderId="0" xfId="0" applyFont="1" applyFill="1" applyAlignment="1" applyProtection="1">
      <alignment vertical="center" wrapText="1"/>
    </xf>
    <xf numFmtId="0" fontId="13" fillId="17" borderId="0" xfId="0" applyFont="1" applyFill="1" applyAlignment="1" applyProtection="1">
      <alignment horizontal="left" vertical="center"/>
    </xf>
    <xf numFmtId="38" fontId="13" fillId="17" borderId="0" xfId="1" applyFont="1" applyFill="1" applyBorder="1" applyAlignment="1" applyProtection="1">
      <alignment horizontal="left" vertical="center" wrapText="1"/>
    </xf>
    <xf numFmtId="0" fontId="13" fillId="17" borderId="0" xfId="0" applyFont="1" applyFill="1" applyAlignment="1" applyProtection="1">
      <alignment horizontal="center" vertical="top"/>
    </xf>
    <xf numFmtId="0" fontId="13" fillId="17" borderId="0" xfId="0" applyFont="1" applyFill="1" applyBorder="1" applyAlignment="1" applyProtection="1">
      <alignment horizontal="left" vertical="center" wrapText="1" indent="2"/>
    </xf>
    <xf numFmtId="0" fontId="13" fillId="17" borderId="0" xfId="0" applyFont="1" applyFill="1" applyBorder="1" applyAlignment="1" applyProtection="1">
      <alignment vertical="center" wrapText="1"/>
    </xf>
    <xf numFmtId="0" fontId="23" fillId="17" borderId="0" xfId="0" applyFont="1" applyFill="1" applyAlignment="1" applyProtection="1">
      <alignment horizontal="left" vertical="center"/>
    </xf>
    <xf numFmtId="0" fontId="13" fillId="17" borderId="117" xfId="0" applyFont="1" applyFill="1" applyBorder="1" applyAlignment="1" applyProtection="1">
      <alignment horizontal="center" vertical="center"/>
    </xf>
    <xf numFmtId="0" fontId="13" fillId="17" borderId="157" xfId="0" applyFont="1" applyFill="1" applyBorder="1" applyAlignment="1" applyProtection="1">
      <alignment horizontal="center" vertical="center"/>
    </xf>
    <xf numFmtId="0" fontId="13" fillId="17" borderId="122" xfId="0" applyFont="1" applyFill="1" applyBorder="1" applyAlignment="1" applyProtection="1">
      <alignment horizontal="center" vertical="center"/>
    </xf>
    <xf numFmtId="0" fontId="13" fillId="17" borderId="102" xfId="0" applyFont="1" applyFill="1" applyBorder="1" applyAlignment="1" applyProtection="1">
      <alignment horizontal="center" vertical="center"/>
    </xf>
    <xf numFmtId="0" fontId="13" fillId="17" borderId="158" xfId="0" applyFont="1" applyFill="1" applyBorder="1" applyAlignment="1" applyProtection="1">
      <alignment horizontal="center" vertical="center"/>
    </xf>
    <xf numFmtId="0" fontId="13" fillId="17" borderId="84" xfId="0" applyFont="1" applyFill="1" applyBorder="1" applyAlignment="1" applyProtection="1">
      <alignment horizontal="center" vertical="center"/>
    </xf>
    <xf numFmtId="0" fontId="13" fillId="17" borderId="149" xfId="0" applyFont="1" applyFill="1" applyBorder="1" applyAlignment="1" applyProtection="1">
      <alignment horizontal="center" vertical="center"/>
    </xf>
    <xf numFmtId="0" fontId="15" fillId="17" borderId="0" xfId="0" applyFont="1" applyFill="1" applyBorder="1" applyAlignment="1" applyProtection="1">
      <alignment horizontal="center" vertical="center" textRotation="255"/>
    </xf>
    <xf numFmtId="0" fontId="13" fillId="17" borderId="0" xfId="0" applyFont="1" applyFill="1" applyBorder="1" applyAlignment="1" applyProtection="1">
      <alignment vertical="top" wrapText="1"/>
    </xf>
    <xf numFmtId="0" fontId="13" fillId="17" borderId="8" xfId="0" applyFont="1" applyFill="1" applyBorder="1" applyAlignment="1" applyProtection="1">
      <alignment horizontal="left" vertical="top" wrapText="1"/>
    </xf>
    <xf numFmtId="38" fontId="13" fillId="17" borderId="0" xfId="0" applyNumberFormat="1" applyFont="1" applyFill="1" applyBorder="1" applyAlignment="1" applyProtection="1">
      <alignment horizontal="right" vertical="center"/>
    </xf>
    <xf numFmtId="0" fontId="15" fillId="17" borderId="0" xfId="0" applyFont="1" applyFill="1" applyBorder="1" applyAlignment="1" applyProtection="1">
      <alignment horizontal="left" vertical="center" shrinkToFit="1"/>
    </xf>
    <xf numFmtId="0" fontId="13" fillId="0" borderId="0" xfId="0" applyFont="1" applyAlignment="1" applyProtection="1">
      <alignment vertical="top"/>
    </xf>
    <xf numFmtId="0" fontId="13" fillId="2" borderId="9" xfId="0" applyFont="1" applyFill="1" applyBorder="1" applyAlignment="1" applyProtection="1">
      <alignment horizontal="center" vertical="center"/>
    </xf>
    <xf numFmtId="0" fontId="0" fillId="0" borderId="48" xfId="0" applyBorder="1">
      <alignment vertical="center"/>
    </xf>
    <xf numFmtId="0" fontId="0" fillId="0" borderId="40" xfId="0" applyBorder="1">
      <alignment vertical="center"/>
    </xf>
    <xf numFmtId="0" fontId="0" fillId="0" borderId="49" xfId="0" applyBorder="1">
      <alignment vertical="center"/>
    </xf>
    <xf numFmtId="0" fontId="0" fillId="0" borderId="201" xfId="0" applyBorder="1">
      <alignment vertical="center"/>
    </xf>
    <xf numFmtId="0" fontId="0" fillId="0" borderId="43" xfId="0" applyBorder="1">
      <alignment vertical="center"/>
    </xf>
    <xf numFmtId="0" fontId="0" fillId="0" borderId="202" xfId="0" applyBorder="1">
      <alignment vertical="center"/>
    </xf>
    <xf numFmtId="0" fontId="0" fillId="14" borderId="0" xfId="0" applyFill="1" applyAlignment="1">
      <alignment vertical="center" wrapText="1"/>
    </xf>
    <xf numFmtId="0" fontId="0" fillId="14" borderId="0" xfId="0" applyFill="1">
      <alignment vertical="center"/>
    </xf>
    <xf numFmtId="38" fontId="52" fillId="0" borderId="0" xfId="6" applyFont="1" applyFill="1" applyProtection="1">
      <alignment vertical="center"/>
      <protection hidden="1"/>
    </xf>
    <xf numFmtId="38" fontId="53" fillId="0" borderId="0" xfId="6" applyFont="1" applyFill="1" applyProtection="1">
      <alignment vertical="center"/>
      <protection hidden="1"/>
    </xf>
    <xf numFmtId="38" fontId="53" fillId="0" borderId="0" xfId="6" applyFont="1" applyFill="1" applyAlignment="1" applyProtection="1">
      <alignment horizontal="center" vertical="center"/>
      <protection hidden="1"/>
    </xf>
    <xf numFmtId="38" fontId="53" fillId="8" borderId="0" xfId="6" applyFont="1" applyFill="1" applyAlignment="1" applyProtection="1">
      <alignment vertical="center"/>
      <protection hidden="1"/>
    </xf>
    <xf numFmtId="182" fontId="54" fillId="0" borderId="0" xfId="6" applyNumberFormat="1" applyFont="1" applyFill="1" applyBorder="1" applyAlignment="1" applyProtection="1">
      <alignment vertical="center"/>
      <protection hidden="1"/>
    </xf>
    <xf numFmtId="182" fontId="54" fillId="0" borderId="0" xfId="6" applyNumberFormat="1" applyFont="1" applyFill="1" applyBorder="1" applyProtection="1">
      <alignment vertical="center"/>
      <protection hidden="1"/>
    </xf>
    <xf numFmtId="182" fontId="51" fillId="0" borderId="0" xfId="7" applyNumberFormat="1" applyFont="1" applyFill="1" applyBorder="1" applyProtection="1">
      <alignment vertical="center"/>
      <protection hidden="1"/>
    </xf>
    <xf numFmtId="38" fontId="55" fillId="0" borderId="0" xfId="6" applyFont="1" applyFill="1" applyProtection="1">
      <alignment vertical="center"/>
      <protection hidden="1"/>
    </xf>
    <xf numFmtId="38" fontId="53" fillId="0" borderId="0" xfId="6" applyFont="1" applyFill="1" applyBorder="1" applyProtection="1">
      <alignment vertical="center"/>
      <protection hidden="1"/>
    </xf>
    <xf numFmtId="38" fontId="53" fillId="0" borderId="0" xfId="6" applyFont="1" applyFill="1" applyBorder="1" applyAlignment="1" applyProtection="1">
      <alignment horizontal="center" vertical="center"/>
      <protection hidden="1"/>
    </xf>
    <xf numFmtId="38" fontId="55" fillId="0" borderId="0" xfId="6" applyFont="1" applyFill="1" applyBorder="1" applyProtection="1">
      <alignment vertical="center"/>
      <protection hidden="1"/>
    </xf>
    <xf numFmtId="38" fontId="53" fillId="0" borderId="0" xfId="6" applyFont="1" applyFill="1" applyAlignment="1" applyProtection="1">
      <alignment vertical="center"/>
      <protection hidden="1"/>
    </xf>
    <xf numFmtId="38" fontId="53" fillId="0" borderId="0" xfId="6" applyFont="1" applyFill="1" applyBorder="1" applyAlignment="1" applyProtection="1">
      <alignment vertical="center"/>
      <protection hidden="1"/>
    </xf>
    <xf numFmtId="38" fontId="56" fillId="0" borderId="0" xfId="6" applyFont="1" applyFill="1" applyBorder="1" applyProtection="1">
      <alignment vertical="center"/>
      <protection hidden="1"/>
    </xf>
    <xf numFmtId="38" fontId="54" fillId="0" borderId="0" xfId="6" applyFont="1" applyFill="1" applyBorder="1" applyAlignment="1" applyProtection="1">
      <alignment vertical="center" shrinkToFit="1"/>
      <protection hidden="1"/>
    </xf>
    <xf numFmtId="182" fontId="54" fillId="0" borderId="0" xfId="7" applyNumberFormat="1" applyFont="1" applyFill="1" applyBorder="1" applyAlignment="1" applyProtection="1">
      <alignment vertical="center"/>
      <protection hidden="1"/>
    </xf>
    <xf numFmtId="38" fontId="51" fillId="0" borderId="0" xfId="6" applyFont="1" applyFill="1" applyBorder="1" applyProtection="1">
      <alignment vertical="center"/>
      <protection hidden="1"/>
    </xf>
    <xf numFmtId="38" fontId="53" fillId="18" borderId="205" xfId="6" applyFont="1" applyFill="1" applyBorder="1" applyAlignment="1" applyProtection="1">
      <alignment vertical="center" shrinkToFit="1"/>
      <protection hidden="1"/>
    </xf>
    <xf numFmtId="10" fontId="51" fillId="0" borderId="0" xfId="7" applyNumberFormat="1" applyFont="1" applyFill="1" applyBorder="1" applyProtection="1">
      <alignment vertical="center"/>
      <protection hidden="1"/>
    </xf>
    <xf numFmtId="38" fontId="54" fillId="0" borderId="0" xfId="6" applyFont="1" applyFill="1" applyBorder="1" applyAlignment="1" applyProtection="1">
      <alignment horizontal="left" vertical="center" shrinkToFit="1"/>
      <protection hidden="1"/>
    </xf>
    <xf numFmtId="38" fontId="53" fillId="0" borderId="205" xfId="6" applyFont="1" applyFill="1" applyBorder="1" applyAlignment="1" applyProtection="1">
      <alignment vertical="center" shrinkToFit="1"/>
      <protection hidden="1"/>
    </xf>
    <xf numFmtId="38" fontId="54" fillId="0" borderId="0" xfId="6" applyFont="1" applyFill="1" applyBorder="1" applyAlignment="1" applyProtection="1">
      <alignment vertical="center"/>
      <protection hidden="1"/>
    </xf>
    <xf numFmtId="38" fontId="57" fillId="0" borderId="0" xfId="6" applyFont="1" applyFill="1" applyAlignment="1" applyProtection="1">
      <alignment vertical="center"/>
      <protection hidden="1"/>
    </xf>
    <xf numFmtId="38" fontId="54" fillId="0" borderId="0" xfId="6" applyFont="1" applyFill="1" applyBorder="1" applyProtection="1">
      <alignment vertical="center"/>
      <protection hidden="1"/>
    </xf>
    <xf numFmtId="38" fontId="57" fillId="0" borderId="0" xfId="6" applyFont="1" applyFill="1" applyProtection="1">
      <alignment vertical="center"/>
      <protection hidden="1"/>
    </xf>
    <xf numFmtId="38" fontId="57" fillId="0" borderId="0" xfId="6" applyFont="1" applyFill="1" applyBorder="1" applyProtection="1">
      <alignment vertical="center"/>
      <protection hidden="1"/>
    </xf>
    <xf numFmtId="38" fontId="53" fillId="0" borderId="0" xfId="6" applyFont="1" applyFill="1" applyBorder="1" applyAlignment="1" applyProtection="1">
      <alignment horizontal="right" vertical="center"/>
      <protection hidden="1"/>
    </xf>
    <xf numFmtId="38" fontId="53" fillId="0" borderId="4" xfId="6" applyFont="1" applyFill="1" applyBorder="1" applyAlignment="1" applyProtection="1">
      <alignment vertical="center" shrinkToFit="1"/>
      <protection hidden="1"/>
    </xf>
    <xf numFmtId="183" fontId="53" fillId="0" borderId="205" xfId="8" applyNumberFormat="1" applyFont="1" applyFill="1" applyBorder="1" applyAlignment="1" applyProtection="1">
      <alignment vertical="center" shrinkToFit="1"/>
      <protection hidden="1"/>
    </xf>
    <xf numFmtId="38" fontId="53" fillId="0" borderId="193" xfId="6" applyFont="1" applyFill="1" applyBorder="1" applyProtection="1">
      <alignment vertical="center"/>
      <protection hidden="1"/>
    </xf>
    <xf numFmtId="38" fontId="53" fillId="0" borderId="16" xfId="6" applyFont="1" applyFill="1" applyBorder="1" applyProtection="1">
      <alignment vertical="center"/>
      <protection hidden="1"/>
    </xf>
    <xf numFmtId="38" fontId="53" fillId="0" borderId="16" xfId="6" applyFont="1" applyFill="1" applyBorder="1" applyAlignment="1" applyProtection="1">
      <alignment horizontal="center" vertical="center"/>
      <protection hidden="1"/>
    </xf>
    <xf numFmtId="38" fontId="53" fillId="0" borderId="17" xfId="6" applyFont="1" applyFill="1" applyBorder="1" applyProtection="1">
      <alignment vertical="center"/>
      <protection hidden="1"/>
    </xf>
    <xf numFmtId="183" fontId="51" fillId="0" borderId="0" xfId="7" applyNumberFormat="1" applyFont="1" applyFill="1" applyBorder="1" applyProtection="1">
      <alignment vertical="center"/>
      <protection hidden="1"/>
    </xf>
    <xf numFmtId="38" fontId="53" fillId="0" borderId="200" xfId="6" applyFont="1" applyFill="1" applyBorder="1" applyProtection="1">
      <alignment vertical="center"/>
      <protection hidden="1"/>
    </xf>
    <xf numFmtId="38" fontId="53" fillId="0" borderId="18" xfId="6" applyFont="1" applyFill="1" applyBorder="1" applyProtection="1">
      <alignment vertical="center"/>
      <protection hidden="1"/>
    </xf>
    <xf numFmtId="38" fontId="53" fillId="18" borderId="4" xfId="6" applyFont="1" applyFill="1" applyBorder="1" applyAlignment="1" applyProtection="1">
      <alignment vertical="center" shrinkToFit="1"/>
      <protection hidden="1"/>
    </xf>
    <xf numFmtId="38" fontId="57" fillId="0" borderId="205" xfId="6" applyFont="1" applyFill="1" applyBorder="1" applyAlignment="1" applyProtection="1">
      <alignment vertical="center" shrinkToFit="1"/>
      <protection hidden="1"/>
    </xf>
    <xf numFmtId="38" fontId="53" fillId="0" borderId="192" xfId="6" applyFont="1" applyFill="1" applyBorder="1" applyProtection="1">
      <alignment vertical="center"/>
      <protection hidden="1"/>
    </xf>
    <xf numFmtId="38" fontId="53" fillId="0" borderId="19" xfId="6" applyFont="1" applyFill="1" applyBorder="1" applyProtection="1">
      <alignment vertical="center"/>
      <protection hidden="1"/>
    </xf>
    <xf numFmtId="38" fontId="53" fillId="0" borderId="19" xfId="6" applyFont="1" applyFill="1" applyBorder="1" applyAlignment="1" applyProtection="1">
      <alignment horizontal="center" vertical="center"/>
      <protection hidden="1"/>
    </xf>
    <xf numFmtId="38" fontId="53" fillId="0" borderId="20" xfId="6" applyFont="1" applyFill="1" applyBorder="1" applyProtection="1">
      <alignment vertical="center"/>
      <protection hidden="1"/>
    </xf>
    <xf numFmtId="38" fontId="58" fillId="0" borderId="0" xfId="6" applyFont="1" applyFill="1" applyBorder="1" applyAlignment="1" applyProtection="1">
      <alignment vertical="center"/>
      <protection hidden="1"/>
    </xf>
    <xf numFmtId="184" fontId="53" fillId="0" borderId="205" xfId="6" applyNumberFormat="1" applyFont="1" applyFill="1" applyBorder="1" applyAlignment="1" applyProtection="1">
      <alignment vertical="center" shrinkToFit="1"/>
      <protection hidden="1"/>
    </xf>
    <xf numFmtId="38" fontId="59" fillId="0" borderId="0" xfId="6" applyFont="1" applyFill="1" applyBorder="1" applyAlignment="1" applyProtection="1">
      <alignment vertical="center" shrinkToFit="1"/>
      <protection hidden="1"/>
    </xf>
    <xf numFmtId="38" fontId="59" fillId="0" borderId="0" xfId="6" applyFont="1" applyFill="1" applyBorder="1" applyAlignment="1" applyProtection="1">
      <alignment vertical="center"/>
      <protection hidden="1"/>
    </xf>
    <xf numFmtId="38" fontId="59" fillId="0" borderId="0" xfId="6" applyFont="1" applyFill="1" applyBorder="1" applyAlignment="1" applyProtection="1">
      <alignment horizontal="left" vertical="center" shrinkToFit="1"/>
      <protection hidden="1"/>
    </xf>
    <xf numFmtId="178" fontId="53" fillId="0" borderId="4" xfId="6" applyNumberFormat="1" applyFont="1" applyFill="1" applyBorder="1" applyAlignment="1" applyProtection="1">
      <alignment vertical="center" shrinkToFit="1"/>
      <protection hidden="1"/>
    </xf>
    <xf numFmtId="183" fontId="53" fillId="0" borderId="205" xfId="6" applyNumberFormat="1" applyFont="1" applyFill="1" applyBorder="1" applyAlignment="1" applyProtection="1">
      <alignment vertical="center" shrinkToFit="1"/>
      <protection hidden="1"/>
    </xf>
    <xf numFmtId="184" fontId="53" fillId="18" borderId="4" xfId="6" applyNumberFormat="1" applyFont="1" applyFill="1" applyBorder="1" applyAlignment="1" applyProtection="1">
      <alignment vertical="center" shrinkToFit="1"/>
      <protection hidden="1"/>
    </xf>
    <xf numFmtId="181" fontId="53" fillId="0" borderId="205" xfId="6" applyNumberFormat="1" applyFont="1" applyFill="1" applyBorder="1" applyAlignment="1" applyProtection="1">
      <alignment vertical="center" shrinkToFit="1"/>
      <protection hidden="1"/>
    </xf>
    <xf numFmtId="38" fontId="59" fillId="0" borderId="0" xfId="6" applyFont="1" applyFill="1" applyBorder="1" applyAlignment="1" applyProtection="1">
      <alignment horizontal="left" vertical="center"/>
      <protection hidden="1"/>
    </xf>
    <xf numFmtId="38" fontId="53" fillId="0" borderId="0" xfId="6" applyFont="1" applyFill="1" applyBorder="1" applyAlignment="1" applyProtection="1">
      <alignment vertical="center" shrinkToFit="1"/>
      <protection hidden="1"/>
    </xf>
    <xf numFmtId="38" fontId="60" fillId="0" borderId="0" xfId="6" applyFont="1" applyFill="1" applyBorder="1" applyAlignment="1" applyProtection="1">
      <alignment vertical="center"/>
      <protection hidden="1"/>
    </xf>
    <xf numFmtId="178" fontId="53" fillId="0" borderId="0" xfId="6" applyNumberFormat="1" applyFont="1" applyFill="1" applyBorder="1" applyAlignment="1" applyProtection="1">
      <alignment horizontal="center" vertical="center" shrinkToFit="1"/>
      <protection hidden="1"/>
    </xf>
    <xf numFmtId="182" fontId="57" fillId="0" borderId="0" xfId="6" applyNumberFormat="1" applyFont="1" applyFill="1" applyBorder="1" applyProtection="1">
      <alignment vertical="center"/>
      <protection hidden="1"/>
    </xf>
    <xf numFmtId="182" fontId="61" fillId="0" borderId="0" xfId="7" applyNumberFormat="1" applyFont="1" applyBorder="1" applyProtection="1">
      <alignment vertical="center"/>
      <protection hidden="1"/>
    </xf>
    <xf numFmtId="38" fontId="53" fillId="0" borderId="0" xfId="6" applyFont="1" applyFill="1" applyAlignment="1" applyProtection="1">
      <alignment horizontal="right" vertical="center"/>
      <protection hidden="1"/>
    </xf>
    <xf numFmtId="38" fontId="56" fillId="0" borderId="0" xfId="6" applyFont="1" applyFill="1" applyProtection="1">
      <alignment vertical="center"/>
      <protection hidden="1"/>
    </xf>
    <xf numFmtId="183" fontId="57" fillId="0" borderId="205" xfId="6" applyNumberFormat="1" applyFont="1" applyFill="1" applyBorder="1" applyAlignment="1" applyProtection="1">
      <alignment vertical="center" shrinkToFit="1"/>
      <protection hidden="1"/>
    </xf>
    <xf numFmtId="182" fontId="54" fillId="0" borderId="0" xfId="6" applyNumberFormat="1" applyFont="1" applyFill="1" applyBorder="1" applyAlignment="1" applyProtection="1">
      <alignment vertical="center" shrinkToFit="1"/>
      <protection hidden="1"/>
    </xf>
    <xf numFmtId="38" fontId="53" fillId="0" borderId="0" xfId="6" applyFont="1" applyFill="1" applyAlignment="1" applyProtection="1">
      <alignment vertical="center" shrinkToFit="1"/>
      <protection hidden="1"/>
    </xf>
    <xf numFmtId="38" fontId="55" fillId="0" borderId="0" xfId="6" applyFont="1" applyFill="1" applyAlignment="1" applyProtection="1">
      <alignment vertical="center" shrinkToFit="1"/>
      <protection hidden="1"/>
    </xf>
    <xf numFmtId="38" fontId="53" fillId="0" borderId="0" xfId="6" applyFont="1" applyFill="1" applyAlignment="1" applyProtection="1">
      <alignment horizontal="right" vertical="center" shrinkToFit="1"/>
      <protection hidden="1"/>
    </xf>
    <xf numFmtId="38" fontId="55" fillId="0" borderId="0" xfId="6" applyFont="1" applyFill="1" applyAlignment="1" applyProtection="1">
      <alignment vertical="center"/>
      <protection hidden="1"/>
    </xf>
    <xf numFmtId="181" fontId="53" fillId="0" borderId="0" xfId="6" applyNumberFormat="1" applyFont="1" applyFill="1" applyBorder="1" applyAlignment="1" applyProtection="1">
      <alignment vertical="center" shrinkToFit="1"/>
      <protection hidden="1"/>
    </xf>
    <xf numFmtId="0" fontId="22" fillId="0" borderId="3" xfId="0"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13" fillId="2" borderId="0" xfId="0" applyFont="1" applyFill="1" applyBorder="1" applyAlignment="1" applyProtection="1">
      <alignment horizontal="left" vertical="center"/>
    </xf>
    <xf numFmtId="0" fontId="13" fillId="0" borderId="0" xfId="0" applyFont="1" applyFill="1" applyAlignment="1" applyProtection="1">
      <alignment vertical="top" wrapText="1"/>
    </xf>
    <xf numFmtId="0" fontId="13" fillId="0" borderId="0" xfId="0" applyFont="1" applyAlignment="1" applyProtection="1">
      <alignment vertical="center" wrapText="1"/>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22" fillId="0" borderId="0" xfId="0" applyFont="1" applyFill="1" applyBorder="1" applyAlignment="1" applyProtection="1">
      <alignment vertical="top" wrapText="1"/>
    </xf>
    <xf numFmtId="0" fontId="13" fillId="19" borderId="10" xfId="0"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0" fontId="22" fillId="19" borderId="3" xfId="0" applyFont="1" applyFill="1" applyBorder="1" applyAlignment="1" applyProtection="1">
      <alignment horizontal="center" vertical="center" wrapText="1"/>
    </xf>
    <xf numFmtId="0" fontId="13" fillId="2" borderId="68" xfId="0" applyFont="1" applyFill="1" applyBorder="1" applyAlignment="1" applyProtection="1">
      <alignment horizontal="center" vertical="center"/>
    </xf>
    <xf numFmtId="0" fontId="13" fillId="2" borderId="107" xfId="0" applyFont="1" applyFill="1" applyBorder="1" applyAlignment="1" applyProtection="1">
      <alignment horizontal="center" vertical="center"/>
    </xf>
    <xf numFmtId="0" fontId="13" fillId="0" borderId="111" xfId="0" applyFont="1" applyFill="1" applyBorder="1" applyAlignment="1" applyProtection="1">
      <alignment horizontal="center" vertical="center"/>
    </xf>
    <xf numFmtId="0" fontId="13" fillId="19" borderId="13" xfId="0" applyFont="1" applyFill="1" applyBorder="1" applyAlignment="1" applyProtection="1">
      <alignment horizontal="center" vertical="center"/>
    </xf>
    <xf numFmtId="0" fontId="13" fillId="2" borderId="74" xfId="0" applyFont="1" applyFill="1" applyBorder="1" applyAlignment="1" applyProtection="1">
      <alignment horizontal="center" vertical="center"/>
    </xf>
    <xf numFmtId="0" fontId="13" fillId="2" borderId="105" xfId="0" applyFont="1" applyFill="1" applyBorder="1" applyAlignment="1" applyProtection="1">
      <alignment horizontal="center" vertical="center"/>
    </xf>
    <xf numFmtId="0" fontId="13" fillId="0" borderId="110" xfId="0" applyFont="1" applyFill="1" applyBorder="1" applyAlignment="1" applyProtection="1">
      <alignment horizontal="center" vertical="center"/>
    </xf>
    <xf numFmtId="0" fontId="13" fillId="2" borderId="127" xfId="0" applyFont="1" applyFill="1" applyBorder="1" applyAlignment="1" applyProtection="1">
      <alignment horizontal="center" vertical="center"/>
    </xf>
    <xf numFmtId="0" fontId="13" fillId="2" borderId="124" xfId="0" applyFont="1" applyFill="1" applyBorder="1" applyAlignment="1" applyProtection="1">
      <alignment horizontal="center" vertical="center"/>
    </xf>
    <xf numFmtId="0" fontId="13" fillId="0" borderId="126" xfId="0" applyFont="1" applyFill="1" applyBorder="1" applyAlignment="1" applyProtection="1">
      <alignment horizontal="center" vertical="center"/>
    </xf>
    <xf numFmtId="0" fontId="13" fillId="19" borderId="206" xfId="0" applyFont="1" applyFill="1" applyBorder="1" applyAlignment="1" applyProtection="1">
      <alignment horizontal="center" vertical="center"/>
    </xf>
    <xf numFmtId="0" fontId="13" fillId="3" borderId="53" xfId="0" applyFont="1" applyFill="1" applyBorder="1" applyAlignment="1" applyProtection="1">
      <alignment horizontal="center" vertical="center"/>
    </xf>
    <xf numFmtId="0" fontId="13" fillId="3" borderId="81" xfId="0" applyFont="1" applyFill="1" applyBorder="1" applyAlignment="1" applyProtection="1">
      <alignment horizontal="center" vertical="center"/>
    </xf>
    <xf numFmtId="38" fontId="13" fillId="3" borderId="53" xfId="1" applyFont="1" applyFill="1" applyBorder="1" applyAlignment="1" applyProtection="1">
      <alignment horizontal="center" vertical="center"/>
    </xf>
    <xf numFmtId="0" fontId="13" fillId="3" borderId="192" xfId="0" applyFont="1" applyFill="1" applyBorder="1" applyProtection="1">
      <alignment vertical="center"/>
    </xf>
    <xf numFmtId="0" fontId="13" fillId="3" borderId="19" xfId="0" applyFont="1" applyFill="1" applyBorder="1" applyProtection="1">
      <alignment vertical="center"/>
    </xf>
    <xf numFmtId="0" fontId="13" fillId="3" borderId="20" xfId="0" applyFont="1" applyFill="1" applyBorder="1" applyProtection="1">
      <alignment vertical="center"/>
    </xf>
    <xf numFmtId="0" fontId="13" fillId="3" borderId="63" xfId="0" applyFont="1" applyFill="1" applyBorder="1" applyAlignment="1" applyProtection="1">
      <alignment horizontal="center" vertical="center" shrinkToFit="1"/>
    </xf>
    <xf numFmtId="0" fontId="13" fillId="3" borderId="164" xfId="0" applyFont="1" applyFill="1" applyBorder="1" applyAlignment="1" applyProtection="1">
      <alignment horizontal="center" vertical="center" shrinkToFit="1"/>
    </xf>
    <xf numFmtId="0" fontId="13" fillId="3" borderId="96" xfId="0" applyFont="1" applyFill="1" applyBorder="1" applyAlignment="1" applyProtection="1">
      <alignment horizontal="center" vertical="center" shrinkToFit="1"/>
    </xf>
    <xf numFmtId="0" fontId="13" fillId="3" borderId="99" xfId="0" applyFont="1" applyFill="1" applyBorder="1" applyAlignment="1" applyProtection="1">
      <alignment horizontal="center" vertical="center"/>
    </xf>
    <xf numFmtId="0" fontId="13" fillId="3" borderId="100" xfId="0" applyFont="1" applyFill="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3" fillId="0" borderId="0" xfId="0" applyFont="1" applyFill="1" applyAlignment="1" applyProtection="1">
      <alignment horizontal="left" vertical="center" wrapText="1"/>
    </xf>
    <xf numFmtId="0" fontId="13" fillId="0" borderId="25" xfId="0" applyFont="1" applyFill="1" applyBorder="1" applyAlignment="1" applyProtection="1">
      <alignment horizontal="center" vertical="center"/>
    </xf>
    <xf numFmtId="38" fontId="13" fillId="0" borderId="0" xfId="1" applyFont="1" applyFill="1" applyBorder="1" applyAlignment="1" applyProtection="1">
      <alignment horizontal="center" vertical="center" wrapText="1"/>
    </xf>
    <xf numFmtId="38" fontId="13" fillId="2" borderId="0" xfId="1" applyFont="1" applyFill="1" applyBorder="1" applyAlignment="1" applyProtection="1">
      <alignment horizontal="right" vertical="center"/>
    </xf>
    <xf numFmtId="14" fontId="13" fillId="0" borderId="4" xfId="0" applyNumberFormat="1" applyFont="1" applyFill="1" applyBorder="1" applyAlignment="1" applyProtection="1">
      <alignment horizontal="center" vertical="center"/>
    </xf>
    <xf numFmtId="0" fontId="0" fillId="0" borderId="4" xfId="0" applyBorder="1" applyAlignment="1" applyProtection="1">
      <alignment horizontal="left" vertical="center"/>
      <protection locked="0"/>
    </xf>
    <xf numFmtId="58" fontId="0" fillId="0" borderId="4" xfId="0" applyNumberFormat="1" applyBorder="1" applyProtection="1">
      <alignment vertical="center"/>
      <protection locked="0"/>
    </xf>
    <xf numFmtId="0" fontId="0" fillId="0" borderId="4" xfId="0" applyBorder="1" applyProtection="1">
      <alignment vertical="center"/>
      <protection locked="0"/>
    </xf>
    <xf numFmtId="14" fontId="0" fillId="0" borderId="4" xfId="0" applyNumberFormat="1" applyBorder="1" applyProtection="1">
      <alignment vertical="center"/>
      <protection locked="0"/>
    </xf>
    <xf numFmtId="14" fontId="0" fillId="0" borderId="3" xfId="0" applyNumberFormat="1" applyBorder="1" applyProtection="1">
      <alignment vertical="center"/>
      <protection locked="0"/>
    </xf>
    <xf numFmtId="0" fontId="0" fillId="0" borderId="3" xfId="0" applyBorder="1" applyProtection="1">
      <alignment vertical="center"/>
      <protection locked="0"/>
    </xf>
    <xf numFmtId="58" fontId="0" fillId="0" borderId="3" xfId="0" applyNumberFormat="1" applyBorder="1" applyProtection="1">
      <alignment vertical="center"/>
      <protection locked="0"/>
    </xf>
    <xf numFmtId="0" fontId="15" fillId="0" borderId="0" xfId="0" applyFont="1" applyFill="1" applyBorder="1" applyAlignment="1" applyProtection="1">
      <alignment horizontal="left" vertical="top"/>
    </xf>
    <xf numFmtId="0" fontId="13" fillId="0" borderId="0" xfId="0" applyFont="1" applyFill="1" applyAlignment="1" applyProtection="1">
      <alignment vertical="top"/>
    </xf>
    <xf numFmtId="0" fontId="62" fillId="14" borderId="4" xfId="0" applyFont="1" applyFill="1" applyBorder="1" applyAlignment="1">
      <alignment vertical="center"/>
    </xf>
    <xf numFmtId="0" fontId="62" fillId="14" borderId="4" xfId="0" applyFont="1" applyFill="1" applyBorder="1" applyAlignment="1">
      <alignment horizontal="center" vertical="center"/>
    </xf>
    <xf numFmtId="0" fontId="0" fillId="0" borderId="0" xfId="0" applyNumberFormat="1" applyFill="1" applyBorder="1" applyAlignment="1">
      <alignment horizontal="left" vertical="center"/>
    </xf>
    <xf numFmtId="0" fontId="0" fillId="0" borderId="0" xfId="0" applyFill="1" applyBorder="1" applyAlignment="1">
      <alignment horizontal="left" vertical="center"/>
    </xf>
    <xf numFmtId="38" fontId="0" fillId="0" borderId="0" xfId="0" applyNumberFormat="1" applyFill="1" applyBorder="1" applyAlignment="1">
      <alignment horizontal="left" vertical="center"/>
    </xf>
    <xf numFmtId="2" fontId="0" fillId="0" borderId="0" xfId="0" applyNumberFormat="1" applyFill="1" applyBorder="1" applyAlignment="1">
      <alignment horizontal="left" vertical="center"/>
    </xf>
    <xf numFmtId="38" fontId="32" fillId="0" borderId="4" xfId="1" applyFont="1" applyFill="1" applyBorder="1" applyAlignment="1">
      <alignment horizontal="left" vertical="center"/>
    </xf>
    <xf numFmtId="38" fontId="32" fillId="0" borderId="4" xfId="1" applyFont="1" applyFill="1" applyBorder="1" applyAlignment="1">
      <alignment horizontal="left" vertical="center" shrinkToFit="1"/>
    </xf>
    <xf numFmtId="0" fontId="0" fillId="0" borderId="4" xfId="0" applyFill="1" applyBorder="1" applyAlignment="1">
      <alignment horizontal="left" vertical="center"/>
    </xf>
    <xf numFmtId="14" fontId="0" fillId="0" borderId="4" xfId="0" applyNumberFormat="1" applyBorder="1" applyAlignment="1" applyProtection="1">
      <alignment horizontal="left" vertical="center"/>
      <protection locked="0"/>
    </xf>
    <xf numFmtId="0" fontId="0" fillId="0" borderId="4" xfId="0" applyBorder="1" applyAlignment="1" applyProtection="1">
      <alignment horizontal="center" vertical="center"/>
      <protection locked="0"/>
    </xf>
    <xf numFmtId="0" fontId="13" fillId="14" borderId="0" xfId="0" applyFont="1" applyFill="1" applyProtection="1">
      <alignment vertical="center"/>
    </xf>
    <xf numFmtId="0" fontId="64" fillId="0" borderId="0" xfId="0" applyFont="1" applyProtection="1">
      <alignment vertical="center"/>
    </xf>
    <xf numFmtId="0" fontId="64" fillId="0" borderId="0" xfId="0" applyFont="1" applyBorder="1" applyProtection="1">
      <alignment vertical="center"/>
    </xf>
    <xf numFmtId="0" fontId="65" fillId="0" borderId="0" xfId="0" applyFont="1" applyFill="1" applyBorder="1" applyAlignment="1" applyProtection="1">
      <alignment vertical="center"/>
    </xf>
    <xf numFmtId="0" fontId="64" fillId="0" borderId="0" xfId="0" applyFont="1" applyFill="1" applyAlignment="1" applyProtection="1">
      <alignment vertical="center"/>
    </xf>
    <xf numFmtId="0" fontId="64" fillId="0" borderId="0" xfId="0" applyFont="1" applyFill="1" applyBorder="1" applyProtection="1">
      <alignment vertical="center"/>
    </xf>
    <xf numFmtId="0" fontId="64" fillId="0" borderId="0" xfId="0" applyFont="1" applyFill="1" applyProtection="1">
      <alignment vertical="center"/>
    </xf>
    <xf numFmtId="0" fontId="64" fillId="0" borderId="0" xfId="0" applyFont="1" applyFill="1" applyBorder="1" applyAlignment="1" applyProtection="1">
      <alignment vertical="center" wrapText="1" shrinkToFit="1"/>
    </xf>
    <xf numFmtId="178" fontId="64" fillId="0" borderId="0" xfId="1" applyNumberFormat="1" applyFont="1" applyFill="1" applyBorder="1" applyAlignment="1" applyProtection="1">
      <alignment horizontal="right" vertical="center" shrinkToFit="1"/>
    </xf>
    <xf numFmtId="176" fontId="64" fillId="0" borderId="0" xfId="0" applyNumberFormat="1" applyFont="1" applyFill="1" applyBorder="1" applyAlignment="1" applyProtection="1">
      <alignment horizontal="right" vertical="center" shrinkToFit="1"/>
    </xf>
    <xf numFmtId="177" fontId="64" fillId="0" borderId="0" xfId="0" applyNumberFormat="1" applyFont="1" applyFill="1" applyBorder="1" applyAlignment="1" applyProtection="1">
      <alignment horizontal="right" vertical="center" shrinkToFit="1"/>
    </xf>
    <xf numFmtId="0" fontId="64" fillId="0" borderId="0" xfId="0" applyFont="1" applyFill="1" applyAlignment="1" applyProtection="1">
      <alignment horizontal="left" vertical="center"/>
    </xf>
    <xf numFmtId="0" fontId="64" fillId="0" borderId="0" xfId="0" applyFont="1" applyFill="1" applyBorder="1" applyAlignment="1" applyProtection="1">
      <alignment horizontal="left" vertical="center"/>
    </xf>
    <xf numFmtId="0" fontId="65" fillId="0" borderId="0" xfId="0" applyFont="1" applyFill="1" applyBorder="1" applyAlignment="1" applyProtection="1">
      <alignment horizontal="left" vertical="center"/>
    </xf>
    <xf numFmtId="0" fontId="64" fillId="0" borderId="0" xfId="0" applyFont="1" applyFill="1" applyBorder="1" applyAlignment="1" applyProtection="1">
      <alignment vertical="center"/>
    </xf>
    <xf numFmtId="0" fontId="64" fillId="0" borderId="0" xfId="0" applyFont="1" applyAlignment="1" applyProtection="1">
      <alignment vertical="center"/>
    </xf>
    <xf numFmtId="0" fontId="64" fillId="0" borderId="0" xfId="0" applyFont="1" applyFill="1" applyBorder="1" applyAlignment="1" applyProtection="1">
      <alignment vertical="center" textRotation="255"/>
    </xf>
    <xf numFmtId="0" fontId="64" fillId="0" borderId="0" xfId="0" applyFont="1" applyAlignment="1" applyProtection="1">
      <alignment vertical="center" wrapText="1"/>
    </xf>
    <xf numFmtId="0" fontId="67" fillId="0" borderId="0" xfId="0" applyFont="1" applyFill="1" applyAlignment="1" applyProtection="1">
      <alignment horizontal="left" vertical="center"/>
    </xf>
    <xf numFmtId="0" fontId="64" fillId="2" borderId="0" xfId="0" applyFont="1" applyFill="1" applyProtection="1">
      <alignment vertical="center"/>
    </xf>
    <xf numFmtId="0" fontId="67" fillId="0" borderId="0" xfId="0" applyFont="1" applyFill="1" applyProtection="1">
      <alignment vertical="center"/>
    </xf>
    <xf numFmtId="0" fontId="13" fillId="2" borderId="1" xfId="0" applyFont="1" applyFill="1" applyBorder="1" applyAlignment="1" applyProtection="1">
      <alignment horizontal="left" vertical="center"/>
    </xf>
    <xf numFmtId="0" fontId="15" fillId="0" borderId="0" xfId="0" applyFont="1" applyFill="1" applyBorder="1" applyAlignment="1" applyProtection="1">
      <alignment vertical="center" shrinkToFit="1"/>
    </xf>
    <xf numFmtId="0" fontId="13" fillId="0" borderId="0" xfId="0" applyFont="1" applyFill="1" applyBorder="1" applyAlignment="1" applyProtection="1">
      <alignment horizontal="left" vertical="center" wrapText="1" shrinkToFit="1"/>
    </xf>
    <xf numFmtId="38" fontId="13" fillId="0" borderId="98" xfId="1" applyFont="1" applyFill="1" applyBorder="1" applyAlignment="1" applyProtection="1">
      <alignment horizontal="center" vertical="center"/>
      <protection locked="0"/>
    </xf>
    <xf numFmtId="38" fontId="13" fillId="0" borderId="63" xfId="1" applyFont="1" applyFill="1" applyBorder="1" applyAlignment="1" applyProtection="1">
      <alignment horizontal="center" vertical="center"/>
      <protection locked="0"/>
    </xf>
    <xf numFmtId="38" fontId="13" fillId="0" borderId="94" xfId="1" applyFont="1" applyFill="1" applyBorder="1" applyAlignment="1" applyProtection="1">
      <alignment horizontal="center" vertical="center"/>
      <protection locked="0"/>
    </xf>
    <xf numFmtId="0" fontId="34" fillId="0" borderId="0" xfId="0" applyFont="1" applyFill="1" applyProtection="1">
      <alignment vertical="center"/>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protection locked="0"/>
    </xf>
    <xf numFmtId="0" fontId="13" fillId="2" borderId="4" xfId="0" applyFont="1" applyFill="1" applyBorder="1" applyAlignment="1" applyProtection="1">
      <alignment vertical="center"/>
      <protection locked="0"/>
    </xf>
    <xf numFmtId="0" fontId="22" fillId="2" borderId="4" xfId="0" applyNumberFormat="1" applyFont="1" applyFill="1" applyBorder="1" applyAlignment="1" applyProtection="1">
      <alignment vertical="center"/>
    </xf>
    <xf numFmtId="0" fontId="13" fillId="0" borderId="0" xfId="0" applyFont="1" applyBorder="1" applyAlignment="1" applyProtection="1">
      <alignment vertical="center" wrapText="1"/>
    </xf>
    <xf numFmtId="0" fontId="13" fillId="0" borderId="11" xfId="0" applyFont="1" applyBorder="1" applyAlignment="1" applyProtection="1">
      <alignment vertical="center" wrapText="1"/>
    </xf>
    <xf numFmtId="0" fontId="13" fillId="14" borderId="0" xfId="0" applyFont="1" applyFill="1" applyAlignment="1" applyProtection="1">
      <alignment vertical="center"/>
    </xf>
    <xf numFmtId="0" fontId="13" fillId="0" borderId="10" xfId="0" applyFont="1" applyFill="1" applyBorder="1" applyAlignment="1" applyProtection="1">
      <alignment horizontal="center" vertical="center"/>
      <protection locked="0"/>
    </xf>
    <xf numFmtId="0" fontId="13" fillId="0" borderId="43" xfId="0" applyFont="1" applyBorder="1" applyAlignment="1" applyProtection="1">
      <alignment vertical="center" wrapText="1"/>
    </xf>
    <xf numFmtId="0" fontId="13" fillId="0" borderId="44" xfId="0" applyFont="1" applyBorder="1" applyAlignment="1" applyProtection="1">
      <alignment vertical="center" wrapText="1"/>
    </xf>
    <xf numFmtId="0" fontId="13" fillId="2" borderId="5" xfId="0" applyFont="1" applyFill="1" applyBorder="1" applyAlignment="1" applyProtection="1">
      <alignment vertical="center"/>
      <protection locked="0"/>
    </xf>
    <xf numFmtId="0" fontId="13" fillId="0" borderId="0" xfId="0" applyFont="1" applyFill="1" applyBorder="1" applyAlignment="1" applyProtection="1">
      <alignment horizontal="right" vertical="center"/>
    </xf>
    <xf numFmtId="0" fontId="13" fillId="4" borderId="14" xfId="0" applyFont="1" applyFill="1" applyBorder="1" applyAlignment="1" applyProtection="1">
      <alignment vertical="center"/>
    </xf>
    <xf numFmtId="0" fontId="13" fillId="4" borderId="15" xfId="0" applyFont="1" applyFill="1" applyBorder="1" applyAlignment="1" applyProtection="1">
      <alignment vertical="center"/>
    </xf>
    <xf numFmtId="0" fontId="13" fillId="0" borderId="63" xfId="0" applyFont="1" applyFill="1" applyBorder="1" applyAlignment="1" applyProtection="1">
      <alignment horizontal="center" vertical="center"/>
    </xf>
    <xf numFmtId="0" fontId="13" fillId="0" borderId="26" xfId="0" applyFont="1" applyFill="1" applyBorder="1" applyAlignment="1" applyProtection="1">
      <alignment horizontal="center" vertical="center"/>
    </xf>
    <xf numFmtId="0" fontId="13" fillId="17" borderId="12" xfId="0" applyFont="1" applyFill="1" applyBorder="1" applyAlignment="1" applyProtection="1">
      <alignment horizontal="center" vertical="center" shrinkToFit="1"/>
    </xf>
    <xf numFmtId="0" fontId="13" fillId="2" borderId="63"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3" fillId="2" borderId="94"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0" fontId="13" fillId="0" borderId="0" xfId="0" applyFont="1" applyFill="1" applyAlignment="1" applyProtection="1">
      <alignment horizontal="left" vertical="center" wrapText="1"/>
    </xf>
    <xf numFmtId="0" fontId="13"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center" wrapText="1"/>
    </xf>
    <xf numFmtId="0" fontId="13" fillId="0" borderId="0" xfId="0" applyFont="1" applyFill="1" applyAlignment="1" applyProtection="1">
      <alignment horizontal="left" vertical="top" wrapText="1"/>
    </xf>
    <xf numFmtId="0" fontId="13" fillId="17" borderId="1" xfId="0" applyFont="1" applyFill="1" applyBorder="1" applyAlignment="1" applyProtection="1">
      <alignment horizontal="center" vertical="center"/>
    </xf>
    <xf numFmtId="0" fontId="13" fillId="0" borderId="0" xfId="0" applyFont="1" applyFill="1" applyAlignment="1" applyProtection="1">
      <alignment horizontal="left" vertical="top"/>
    </xf>
    <xf numFmtId="0" fontId="13" fillId="0" borderId="98" xfId="0" applyFont="1" applyFill="1" applyBorder="1" applyAlignment="1" applyProtection="1">
      <alignment horizontal="center" vertical="center"/>
    </xf>
    <xf numFmtId="0" fontId="13" fillId="0" borderId="4" xfId="0" applyFont="1" applyFill="1" applyBorder="1" applyAlignment="1" applyProtection="1">
      <alignment horizontal="center" vertical="center"/>
      <protection locked="0"/>
    </xf>
    <xf numFmtId="0" fontId="13" fillId="2" borderId="98"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17" borderId="28" xfId="0" applyFont="1" applyFill="1" applyBorder="1" applyAlignment="1" applyProtection="1">
      <alignment horizontal="center" vertical="center"/>
    </xf>
    <xf numFmtId="0" fontId="13" fillId="17" borderId="63" xfId="0" applyFont="1" applyFill="1" applyBorder="1" applyAlignment="1" applyProtection="1">
      <alignment horizontal="center" vertical="center"/>
    </xf>
    <xf numFmtId="0" fontId="13" fillId="17" borderId="103" xfId="0" applyFont="1" applyFill="1" applyBorder="1" applyAlignment="1" applyProtection="1">
      <alignment horizontal="center" vertical="center"/>
    </xf>
    <xf numFmtId="0" fontId="13" fillId="17" borderId="99" xfId="0" applyFont="1" applyFill="1" applyBorder="1" applyAlignment="1" applyProtection="1">
      <alignment horizontal="center" vertical="center"/>
    </xf>
    <xf numFmtId="0" fontId="13" fillId="17" borderId="34" xfId="0" applyFont="1" applyFill="1" applyBorder="1" applyAlignment="1" applyProtection="1">
      <alignment horizontal="center" vertical="center"/>
    </xf>
    <xf numFmtId="0" fontId="13" fillId="17" borderId="98" xfId="0" applyFont="1" applyFill="1" applyBorder="1" applyAlignment="1" applyProtection="1">
      <alignment horizontal="center" vertical="center"/>
    </xf>
    <xf numFmtId="0" fontId="13" fillId="0" borderId="4"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xf>
    <xf numFmtId="0" fontId="13" fillId="2" borderId="99"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17"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13" fillId="0" borderId="25"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13" fillId="17" borderId="0" xfId="0" applyFont="1" applyFill="1" applyAlignment="1" applyProtection="1">
      <alignment horizontal="left" vertical="top" wrapText="1"/>
    </xf>
    <xf numFmtId="0" fontId="13" fillId="17" borderId="4" xfId="0" applyFont="1" applyFill="1" applyBorder="1" applyAlignment="1" applyProtection="1">
      <alignment horizontal="center" vertical="center"/>
    </xf>
    <xf numFmtId="0" fontId="13" fillId="17" borderId="0" xfId="0" applyFont="1" applyFill="1" applyAlignment="1" applyProtection="1">
      <alignment horizontal="left" vertical="center" wrapText="1"/>
    </xf>
    <xf numFmtId="0" fontId="13" fillId="0" borderId="0" xfId="0" applyFont="1" applyFill="1" applyBorder="1" applyAlignment="1" applyProtection="1">
      <alignment horizontal="center" vertical="center"/>
    </xf>
    <xf numFmtId="0" fontId="13" fillId="2" borderId="63" xfId="0" applyFont="1" applyFill="1" applyBorder="1" applyAlignment="1" applyProtection="1">
      <alignment horizontal="left" vertical="center"/>
    </xf>
    <xf numFmtId="0" fontId="13" fillId="0" borderId="0" xfId="0" applyFont="1" applyFill="1" applyBorder="1" applyAlignment="1" applyProtection="1">
      <alignment horizontal="left" vertical="center" wrapText="1"/>
    </xf>
    <xf numFmtId="0" fontId="13" fillId="2" borderId="2"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118" xfId="0"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17" borderId="85" xfId="0" applyFont="1" applyFill="1" applyBorder="1" applyAlignment="1" applyProtection="1">
      <alignment horizontal="center" vertical="center"/>
    </xf>
    <xf numFmtId="0" fontId="13" fillId="17" borderId="51" xfId="0" applyFont="1" applyFill="1" applyBorder="1" applyAlignment="1" applyProtection="1">
      <alignment horizontal="center" vertical="center"/>
    </xf>
    <xf numFmtId="0" fontId="13" fillId="17" borderId="0" xfId="0" applyFont="1" applyFill="1" applyBorder="1" applyAlignment="1" applyProtection="1">
      <alignment horizontal="left" vertical="top" wrapText="1"/>
    </xf>
    <xf numFmtId="0" fontId="13" fillId="0" borderId="7" xfId="0" applyFont="1" applyFill="1" applyBorder="1" applyAlignment="1" applyProtection="1">
      <alignment horizontal="right" vertical="center"/>
    </xf>
    <xf numFmtId="0" fontId="13" fillId="17" borderId="26" xfId="0" applyFont="1" applyFill="1" applyBorder="1" applyAlignment="1" applyProtection="1">
      <alignment horizontal="center" vertical="center"/>
    </xf>
    <xf numFmtId="0" fontId="13" fillId="17" borderId="27" xfId="0" applyFont="1" applyFill="1" applyBorder="1" applyAlignment="1" applyProtection="1">
      <alignment horizontal="center" vertical="center"/>
    </xf>
    <xf numFmtId="38" fontId="13" fillId="0" borderId="0" xfId="1" applyFont="1" applyFill="1" applyBorder="1" applyAlignment="1" applyProtection="1">
      <alignment horizontal="right" vertical="center"/>
    </xf>
    <xf numFmtId="0" fontId="13" fillId="17" borderId="31" xfId="0" applyFont="1" applyFill="1" applyBorder="1" applyAlignment="1" applyProtection="1">
      <alignment horizontal="center" vertical="center"/>
    </xf>
    <xf numFmtId="0" fontId="13" fillId="17" borderId="32" xfId="0" applyFont="1" applyFill="1" applyBorder="1" applyAlignment="1" applyProtection="1">
      <alignment horizontal="center" vertical="center"/>
    </xf>
    <xf numFmtId="0" fontId="13" fillId="17" borderId="33" xfId="0" applyFont="1" applyFill="1" applyBorder="1" applyAlignment="1" applyProtection="1">
      <alignment horizontal="center" vertical="center"/>
    </xf>
    <xf numFmtId="0" fontId="13" fillId="0" borderId="0"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28" fillId="20" borderId="4" xfId="0" applyFont="1" applyFill="1" applyBorder="1" applyAlignment="1">
      <alignment horizontal="left" vertical="center" wrapText="1" indent="2"/>
    </xf>
    <xf numFmtId="0" fontId="28" fillId="20" borderId="4" xfId="0" applyFont="1" applyFill="1" applyBorder="1" applyAlignment="1">
      <alignment horizontal="left" vertical="center" wrapText="1"/>
    </xf>
    <xf numFmtId="0" fontId="28" fillId="20" borderId="4" xfId="0" applyFont="1" applyFill="1" applyBorder="1" applyAlignment="1">
      <alignment vertical="center" wrapText="1"/>
    </xf>
    <xf numFmtId="180" fontId="28" fillId="20" borderId="4" xfId="0" applyNumberFormat="1" applyFont="1" applyFill="1" applyBorder="1" applyAlignment="1">
      <alignment horizontal="center" vertical="center" wrapText="1"/>
    </xf>
    <xf numFmtId="0" fontId="0" fillId="9" borderId="4" xfId="0" applyFill="1" applyBorder="1" applyAlignment="1">
      <alignment vertical="center" wrapText="1"/>
    </xf>
    <xf numFmtId="0" fontId="0" fillId="9" borderId="4" xfId="0" applyFill="1" applyBorder="1" applyAlignment="1">
      <alignment horizontal="left" vertical="center" wrapText="1" indent="2"/>
    </xf>
    <xf numFmtId="0" fontId="0" fillId="9" borderId="4" xfId="0" applyFill="1" applyBorder="1">
      <alignment vertical="center"/>
    </xf>
    <xf numFmtId="0" fontId="0" fillId="9" borderId="21" xfId="0" applyFill="1" applyBorder="1">
      <alignment vertical="center"/>
    </xf>
    <xf numFmtId="181" fontId="32" fillId="20" borderId="4" xfId="0" applyNumberFormat="1" applyFont="1" applyFill="1" applyBorder="1" applyAlignment="1">
      <alignment vertical="center"/>
    </xf>
    <xf numFmtId="0" fontId="28" fillId="16" borderId="4" xfId="0" applyFont="1" applyFill="1" applyBorder="1" applyAlignment="1">
      <alignment horizontal="left" vertical="center" wrapText="1"/>
    </xf>
    <xf numFmtId="0" fontId="28" fillId="16" borderId="4" xfId="0" applyFont="1" applyFill="1" applyBorder="1" applyAlignment="1">
      <alignment horizontal="left" vertical="center" wrapText="1" indent="2"/>
    </xf>
    <xf numFmtId="0" fontId="28" fillId="10" borderId="4" xfId="0" applyFont="1" applyFill="1" applyBorder="1" applyAlignment="1">
      <alignment horizontal="center" vertical="center" wrapText="1"/>
    </xf>
    <xf numFmtId="180" fontId="28" fillId="16" borderId="4" xfId="0" applyNumberFormat="1" applyFont="1" applyFill="1" applyBorder="1" applyAlignment="1">
      <alignment horizontal="center" vertical="center" wrapText="1"/>
    </xf>
    <xf numFmtId="181" fontId="32" fillId="0" borderId="0" xfId="9" applyNumberFormat="1" applyFont="1" applyFill="1" applyBorder="1" applyAlignment="1">
      <alignment vertical="center"/>
    </xf>
    <xf numFmtId="181" fontId="32" fillId="8" borderId="63" xfId="9" applyNumberFormat="1" applyFont="1" applyFill="1" applyBorder="1" applyAlignment="1">
      <alignment horizontal="left" vertical="center" indent="4"/>
    </xf>
    <xf numFmtId="181" fontId="32" fillId="8" borderId="4" xfId="0" applyNumberFormat="1" applyFont="1" applyFill="1" applyBorder="1" applyAlignment="1">
      <alignment horizontal="left" vertical="center" indent="5"/>
    </xf>
    <xf numFmtId="181" fontId="32" fillId="8" borderId="4" xfId="0" applyNumberFormat="1" applyFont="1" applyFill="1" applyBorder="1" applyAlignment="1">
      <alignment vertical="center"/>
    </xf>
    <xf numFmtId="0" fontId="13" fillId="2" borderId="0" xfId="0" applyFont="1" applyFill="1" applyBorder="1" applyAlignment="1" applyProtection="1">
      <alignment vertical="center"/>
    </xf>
    <xf numFmtId="38" fontId="13" fillId="0" borderId="0" xfId="1" applyFont="1" applyFill="1" applyBorder="1" applyAlignment="1" applyProtection="1">
      <alignment horizontal="left" vertical="center" shrinkToFit="1"/>
    </xf>
    <xf numFmtId="38" fontId="13" fillId="0" borderId="0" xfId="1" applyFont="1" applyFill="1" applyBorder="1" applyAlignment="1" applyProtection="1">
      <alignment vertical="top" wrapText="1" shrinkToFit="1"/>
    </xf>
    <xf numFmtId="38" fontId="13" fillId="0" borderId="0" xfId="1" applyFont="1" applyFill="1" applyBorder="1" applyAlignment="1" applyProtection="1">
      <alignment vertical="center" shrinkToFit="1"/>
    </xf>
    <xf numFmtId="38" fontId="13" fillId="0" borderId="0" xfId="1" applyFont="1" applyFill="1" applyBorder="1" applyAlignment="1" applyProtection="1">
      <alignment vertical="center" wrapText="1" shrinkToFit="1"/>
    </xf>
    <xf numFmtId="38" fontId="13" fillId="0" borderId="0" xfId="1" applyFont="1" applyFill="1" applyBorder="1" applyAlignment="1" applyProtection="1">
      <alignment horizontal="left" vertical="top" wrapText="1" shrinkToFit="1"/>
    </xf>
    <xf numFmtId="38" fontId="13" fillId="17" borderId="34" xfId="1" applyFont="1" applyFill="1" applyBorder="1" applyAlignment="1" applyProtection="1">
      <alignment horizontal="center" vertical="center"/>
    </xf>
    <xf numFmtId="38" fontId="13" fillId="17" borderId="31" xfId="1" applyFont="1" applyFill="1" applyBorder="1" applyAlignment="1" applyProtection="1">
      <alignment horizontal="center" vertical="center"/>
    </xf>
    <xf numFmtId="0" fontId="13" fillId="17" borderId="21" xfId="0" applyFont="1" applyFill="1" applyBorder="1" applyAlignment="1" applyProtection="1">
      <alignment horizontal="center" vertical="center"/>
    </xf>
    <xf numFmtId="0" fontId="13" fillId="0" borderId="94" xfId="0" applyFont="1" applyFill="1" applyBorder="1" applyAlignment="1" applyProtection="1">
      <alignment horizontal="center" vertical="center"/>
    </xf>
    <xf numFmtId="0" fontId="13" fillId="2" borderId="83" xfId="0" applyFont="1" applyFill="1" applyBorder="1" applyAlignment="1" applyProtection="1">
      <alignment horizontal="center" vertical="center"/>
    </xf>
    <xf numFmtId="0" fontId="13" fillId="0" borderId="6" xfId="0" applyFont="1" applyFill="1" applyBorder="1" applyAlignment="1" applyProtection="1">
      <alignment vertical="center" shrinkToFit="1"/>
    </xf>
    <xf numFmtId="0" fontId="13" fillId="17" borderId="116" xfId="0" applyFont="1" applyFill="1" applyBorder="1" applyAlignment="1" applyProtection="1">
      <alignment horizontal="center" vertical="center"/>
    </xf>
    <xf numFmtId="0" fontId="13" fillId="17" borderId="115" xfId="0" applyFont="1" applyFill="1" applyBorder="1" applyAlignment="1" applyProtection="1">
      <alignment horizontal="center" vertical="center"/>
    </xf>
    <xf numFmtId="0" fontId="13" fillId="17" borderId="101" xfId="0" applyFont="1" applyFill="1" applyBorder="1" applyAlignment="1" applyProtection="1">
      <alignment horizontal="center" vertical="center"/>
    </xf>
    <xf numFmtId="0" fontId="13" fillId="17" borderId="83" xfId="0" applyFont="1" applyFill="1" applyBorder="1" applyAlignment="1" applyProtection="1">
      <alignment horizontal="center" vertical="center"/>
    </xf>
    <xf numFmtId="0" fontId="13" fillId="17" borderId="32" xfId="0" applyFont="1" applyFill="1" applyBorder="1" applyAlignment="1" applyProtection="1">
      <alignment vertical="center"/>
    </xf>
    <xf numFmtId="0" fontId="13" fillId="17" borderId="26" xfId="0" applyFont="1" applyFill="1" applyBorder="1" applyAlignment="1" applyProtection="1">
      <alignment vertical="center"/>
    </xf>
    <xf numFmtId="0" fontId="13" fillId="17" borderId="29" xfId="0" applyFont="1" applyFill="1" applyBorder="1" applyAlignment="1" applyProtection="1">
      <alignment vertical="center"/>
    </xf>
    <xf numFmtId="0" fontId="13" fillId="0" borderId="0" xfId="9" applyFont="1" applyProtection="1">
      <alignment vertical="center"/>
    </xf>
    <xf numFmtId="0" fontId="64" fillId="0" borderId="0" xfId="9" applyFont="1" applyProtection="1">
      <alignment vertical="center"/>
    </xf>
    <xf numFmtId="0" fontId="13" fillId="0" borderId="0" xfId="9" applyFont="1" applyAlignment="1" applyProtection="1">
      <alignment horizontal="left" vertical="center" shrinkToFit="1"/>
    </xf>
    <xf numFmtId="0" fontId="13" fillId="0" borderId="0" xfId="9" applyFont="1" applyAlignment="1" applyProtection="1">
      <alignment horizontal="left" vertical="top" shrinkToFit="1"/>
    </xf>
    <xf numFmtId="0" fontId="13" fillId="0" borderId="0" xfId="9" applyFont="1" applyAlignment="1" applyProtection="1">
      <alignment horizontal="center" vertical="center"/>
    </xf>
    <xf numFmtId="38" fontId="13" fillId="0" borderId="0" xfId="6" applyFont="1" applyAlignment="1" applyProtection="1">
      <alignment horizontal="center" vertical="center"/>
    </xf>
    <xf numFmtId="38" fontId="13" fillId="0" borderId="0" xfId="9" applyNumberFormat="1" applyFont="1" applyAlignment="1" applyProtection="1">
      <alignment horizontal="right" vertical="center"/>
    </xf>
    <xf numFmtId="0" fontId="13" fillId="0" borderId="0" xfId="9" applyFont="1" applyAlignment="1" applyProtection="1">
      <alignment horizontal="right" vertical="center"/>
    </xf>
    <xf numFmtId="181" fontId="32" fillId="4" borderId="83" xfId="9" applyNumberFormat="1" applyFont="1" applyFill="1" applyBorder="1" applyAlignment="1" applyProtection="1">
      <alignment horizontal="center" vertical="center"/>
    </xf>
    <xf numFmtId="181" fontId="32" fillId="4" borderId="84" xfId="9" applyNumberFormat="1" applyFont="1" applyFill="1" applyBorder="1" applyAlignment="1" applyProtection="1">
      <alignment horizontal="center" vertical="center"/>
    </xf>
    <xf numFmtId="0" fontId="64" fillId="0" borderId="0" xfId="9" applyFont="1" applyAlignment="1" applyProtection="1">
      <alignment horizontal="center" vertical="center"/>
    </xf>
    <xf numFmtId="181" fontId="32" fillId="13" borderId="26" xfId="9" applyNumberFormat="1" applyFont="1" applyFill="1" applyBorder="1" applyAlignment="1" applyProtection="1">
      <alignment vertical="center"/>
    </xf>
    <xf numFmtId="181" fontId="32" fillId="13" borderId="27" xfId="9" applyNumberFormat="1" applyFont="1" applyFill="1" applyBorder="1" applyAlignment="1" applyProtection="1">
      <alignment vertical="center"/>
    </xf>
    <xf numFmtId="0" fontId="64" fillId="0" borderId="0" xfId="9" applyFont="1" applyAlignment="1" applyProtection="1">
      <alignment horizontal="left" vertical="center"/>
    </xf>
    <xf numFmtId="0" fontId="64" fillId="0" borderId="0" xfId="9" applyFont="1" applyFill="1" applyProtection="1">
      <alignment vertical="center"/>
    </xf>
    <xf numFmtId="0" fontId="31" fillId="0" borderId="0" xfId="9" applyFont="1" applyAlignment="1" applyProtection="1">
      <alignment vertical="top" textRotation="255"/>
    </xf>
    <xf numFmtId="0" fontId="66" fillId="0" borderId="0" xfId="9" applyFont="1" applyAlignment="1" applyProtection="1">
      <alignment vertical="top" textRotation="255"/>
    </xf>
    <xf numFmtId="0" fontId="68" fillId="0" borderId="0" xfId="9" applyFont="1" applyAlignment="1" applyProtection="1">
      <alignment vertical="top"/>
    </xf>
    <xf numFmtId="181" fontId="32" fillId="4" borderId="25" xfId="9" applyNumberFormat="1" applyFont="1" applyFill="1" applyBorder="1" applyAlignment="1" applyProtection="1">
      <alignment horizontal="center" vertical="center" shrinkToFit="1"/>
    </xf>
    <xf numFmtId="181" fontId="32" fillId="4" borderId="0" xfId="9" applyNumberFormat="1" applyFont="1" applyFill="1" applyBorder="1" applyAlignment="1" applyProtection="1">
      <alignment horizontal="center" vertical="center" shrinkToFit="1"/>
    </xf>
    <xf numFmtId="181" fontId="32" fillId="4" borderId="11" xfId="9" applyNumberFormat="1" applyFont="1" applyFill="1" applyBorder="1" applyAlignment="1" applyProtection="1">
      <alignment horizontal="center" vertical="center" shrinkToFit="1"/>
    </xf>
    <xf numFmtId="0" fontId="31" fillId="4" borderId="97" xfId="9" applyFont="1" applyFill="1" applyBorder="1" applyAlignment="1" applyProtection="1">
      <alignment horizontal="center" vertical="top" textRotation="255" shrinkToFit="1"/>
    </xf>
    <xf numFmtId="0" fontId="31" fillId="4" borderId="10" xfId="9" applyFont="1" applyFill="1" applyBorder="1" applyAlignment="1" applyProtection="1">
      <alignment horizontal="center" vertical="top" textRotation="255" shrinkToFit="1"/>
    </xf>
    <xf numFmtId="0" fontId="0" fillId="0" borderId="0" xfId="0" applyProtection="1">
      <alignment vertical="center"/>
    </xf>
    <xf numFmtId="0" fontId="0" fillId="0" borderId="0" xfId="0" applyAlignment="1" applyProtection="1">
      <alignment horizontal="center" vertical="center"/>
    </xf>
    <xf numFmtId="0" fontId="0" fillId="4" borderId="4" xfId="0" applyFill="1" applyBorder="1" applyAlignment="1" applyProtection="1">
      <alignment horizontal="center" vertical="center"/>
    </xf>
    <xf numFmtId="0" fontId="0" fillId="4" borderId="4" xfId="0" applyFill="1" applyBorder="1" applyAlignment="1" applyProtection="1">
      <alignment horizontal="center" vertical="center" wrapText="1"/>
    </xf>
    <xf numFmtId="0" fontId="0" fillId="3" borderId="4" xfId="0" applyFill="1" applyBorder="1" applyAlignment="1" applyProtection="1">
      <alignment horizontal="center" vertical="center"/>
    </xf>
    <xf numFmtId="0" fontId="0" fillId="4" borderId="3" xfId="0"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0" fillId="3" borderId="6" xfId="0" applyFill="1" applyBorder="1" applyAlignment="1" applyProtection="1">
      <alignment horizontal="center" vertical="center" wrapText="1" shrinkToFit="1"/>
    </xf>
    <xf numFmtId="58" fontId="0" fillId="0" borderId="0" xfId="0" applyNumberFormat="1" applyProtection="1">
      <alignment vertical="center"/>
    </xf>
    <xf numFmtId="0" fontId="0" fillId="0" borderId="4" xfId="0" applyBorder="1" applyAlignment="1" applyProtection="1">
      <alignment horizontal="center" vertical="center"/>
    </xf>
    <xf numFmtId="0" fontId="0" fillId="3" borderId="4" xfId="0" applyFill="1" applyBorder="1" applyProtection="1">
      <alignment vertical="center"/>
    </xf>
    <xf numFmtId="38" fontId="0" fillId="3" borderId="4" xfId="1" applyFont="1" applyFill="1" applyBorder="1" applyProtection="1">
      <alignment vertical="center"/>
    </xf>
    <xf numFmtId="0" fontId="64" fillId="2" borderId="116" xfId="0" applyFont="1" applyFill="1" applyBorder="1" applyAlignment="1" applyProtection="1">
      <alignment horizontal="center" vertical="center"/>
      <protection hidden="1"/>
    </xf>
    <xf numFmtId="0" fontId="64" fillId="2" borderId="117" xfId="0" applyFont="1" applyFill="1" applyBorder="1" applyAlignment="1" applyProtection="1">
      <alignment horizontal="center" vertical="center"/>
      <protection hidden="1"/>
    </xf>
    <xf numFmtId="0" fontId="64" fillId="2" borderId="34" xfId="0" applyFont="1" applyFill="1" applyBorder="1" applyAlignment="1" applyProtection="1">
      <alignment horizontal="center" vertical="center"/>
      <protection hidden="1"/>
    </xf>
    <xf numFmtId="0" fontId="64" fillId="2" borderId="33" xfId="0" applyFont="1" applyFill="1" applyBorder="1" applyAlignment="1" applyProtection="1">
      <alignment horizontal="center" vertical="center"/>
      <protection hidden="1"/>
    </xf>
    <xf numFmtId="0" fontId="64" fillId="0" borderId="157" xfId="0" applyFont="1" applyBorder="1" applyAlignment="1" applyProtection="1">
      <alignment horizontal="center" vertical="center"/>
      <protection hidden="1"/>
    </xf>
    <xf numFmtId="0" fontId="64" fillId="0" borderId="34" xfId="0" applyFont="1" applyBorder="1" applyAlignment="1" applyProtection="1">
      <alignment horizontal="center" vertical="center"/>
      <protection hidden="1"/>
    </xf>
    <xf numFmtId="0" fontId="64" fillId="2" borderId="28" xfId="0" applyFont="1" applyFill="1" applyBorder="1" applyAlignment="1" applyProtection="1">
      <alignment horizontal="center" vertical="center"/>
      <protection hidden="1"/>
    </xf>
    <xf numFmtId="0" fontId="64" fillId="2" borderId="27" xfId="0" applyFont="1" applyFill="1" applyBorder="1" applyAlignment="1" applyProtection="1">
      <alignment horizontal="center" vertical="center"/>
      <protection hidden="1"/>
    </xf>
    <xf numFmtId="0" fontId="64" fillId="0" borderId="122" xfId="0" applyFont="1" applyBorder="1" applyAlignment="1" applyProtection="1">
      <alignment horizontal="center" vertical="center"/>
      <protection hidden="1"/>
    </xf>
    <xf numFmtId="0" fontId="64" fillId="0" borderId="28" xfId="0" applyFont="1" applyBorder="1" applyAlignment="1" applyProtection="1">
      <alignment horizontal="center" vertical="center"/>
      <protection hidden="1"/>
    </xf>
    <xf numFmtId="0" fontId="64" fillId="2" borderId="103" xfId="0" applyFont="1" applyFill="1" applyBorder="1" applyAlignment="1" applyProtection="1">
      <alignment horizontal="center" vertical="center"/>
      <protection hidden="1"/>
    </xf>
    <xf numFmtId="0" fontId="64" fillId="2" borderId="102" xfId="0" applyFont="1" applyFill="1" applyBorder="1" applyAlignment="1" applyProtection="1">
      <alignment horizontal="center" vertical="center"/>
      <protection hidden="1"/>
    </xf>
    <xf numFmtId="0" fontId="64" fillId="0" borderId="158" xfId="0" applyFont="1" applyBorder="1" applyAlignment="1" applyProtection="1">
      <alignment horizontal="center" vertical="center"/>
      <protection hidden="1"/>
    </xf>
    <xf numFmtId="0" fontId="64" fillId="0" borderId="103" xfId="0" applyFont="1" applyBorder="1" applyAlignment="1" applyProtection="1">
      <alignment horizontal="center" vertical="center"/>
      <protection hidden="1"/>
    </xf>
    <xf numFmtId="0" fontId="64" fillId="2" borderId="84" xfId="0" applyFont="1" applyFill="1" applyBorder="1" applyAlignment="1" applyProtection="1">
      <alignment horizontal="center" vertical="center"/>
      <protection hidden="1"/>
    </xf>
    <xf numFmtId="0" fontId="64" fillId="2" borderId="83" xfId="0" applyFont="1" applyFill="1" applyBorder="1" applyAlignment="1" applyProtection="1">
      <alignment horizontal="center" vertical="center"/>
      <protection hidden="1"/>
    </xf>
    <xf numFmtId="0" fontId="64" fillId="2" borderId="85" xfId="0" applyFont="1" applyFill="1" applyBorder="1" applyAlignment="1" applyProtection="1">
      <alignment horizontal="center" vertical="center"/>
      <protection hidden="1"/>
    </xf>
    <xf numFmtId="0" fontId="64" fillId="0" borderId="149" xfId="0" applyFont="1" applyBorder="1" applyAlignment="1" applyProtection="1">
      <alignment horizontal="center" vertical="center"/>
      <protection hidden="1"/>
    </xf>
    <xf numFmtId="0" fontId="64" fillId="0" borderId="85" xfId="0" applyFont="1" applyBorder="1" applyAlignment="1" applyProtection="1">
      <alignment horizontal="center" vertical="center"/>
      <protection hidden="1"/>
    </xf>
    <xf numFmtId="0" fontId="64" fillId="2" borderId="3" xfId="0" applyFont="1" applyFill="1" applyBorder="1" applyAlignment="1" applyProtection="1">
      <alignment horizontal="center" vertical="center"/>
      <protection hidden="1"/>
    </xf>
    <xf numFmtId="0" fontId="64" fillId="2" borderId="82" xfId="0" applyFont="1" applyFill="1" applyBorder="1" applyAlignment="1" applyProtection="1">
      <alignment horizontal="center" vertical="center"/>
      <protection hidden="1"/>
    </xf>
    <xf numFmtId="0" fontId="64" fillId="0" borderId="0" xfId="0" applyFont="1" applyFill="1" applyProtection="1">
      <alignment vertical="center"/>
      <protection hidden="1"/>
    </xf>
    <xf numFmtId="0" fontId="64" fillId="0" borderId="0" xfId="0" applyFont="1" applyProtection="1">
      <alignment vertical="center"/>
      <protection hidden="1"/>
    </xf>
    <xf numFmtId="0" fontId="32" fillId="0" borderId="14" xfId="0" applyFont="1" applyBorder="1" applyAlignment="1">
      <alignment horizontal="center" vertical="center"/>
    </xf>
    <xf numFmtId="0" fontId="0" fillId="0" borderId="4" xfId="0" applyBorder="1" applyAlignment="1">
      <alignment horizontal="left" vertical="center" shrinkToFit="1"/>
    </xf>
    <xf numFmtId="0" fontId="0" fillId="0" borderId="213" xfId="0" applyBorder="1" applyAlignment="1">
      <alignment horizontal="left" vertical="center" shrinkToFit="1"/>
    </xf>
    <xf numFmtId="0" fontId="0" fillId="0" borderId="11" xfId="0" applyBorder="1" applyAlignment="1">
      <alignment horizontal="left" vertical="center"/>
    </xf>
    <xf numFmtId="0" fontId="32" fillId="0" borderId="4" xfId="0" applyFont="1" applyBorder="1" applyAlignment="1">
      <alignment horizontal="left" vertical="center"/>
    </xf>
    <xf numFmtId="0" fontId="32" fillId="0" borderId="3" xfId="0" applyFont="1" applyBorder="1" applyAlignment="1">
      <alignment horizontal="left" vertical="center"/>
    </xf>
    <xf numFmtId="38" fontId="13" fillId="0" borderId="63" xfId="6" applyFont="1" applyBorder="1" applyAlignment="1" applyProtection="1">
      <alignment horizontal="right" vertical="center"/>
      <protection hidden="1"/>
    </xf>
    <xf numFmtId="181" fontId="32" fillId="8" borderId="63" xfId="9" applyNumberFormat="1" applyFont="1" applyFill="1" applyBorder="1" applyAlignment="1" applyProtection="1">
      <alignment horizontal="left" vertical="center" indent="2"/>
    </xf>
    <xf numFmtId="38" fontId="13" fillId="0" borderId="164" xfId="6" applyFont="1" applyBorder="1" applyAlignment="1" applyProtection="1">
      <alignment horizontal="right" vertical="center"/>
      <protection hidden="1"/>
    </xf>
    <xf numFmtId="38" fontId="13" fillId="3" borderId="26" xfId="9" applyNumberFormat="1" applyFont="1" applyFill="1" applyBorder="1" applyAlignment="1" applyProtection="1">
      <alignment horizontal="right" vertical="center" shrinkToFit="1"/>
    </xf>
    <xf numFmtId="0" fontId="13" fillId="3" borderId="27" xfId="9" applyFont="1" applyFill="1" applyBorder="1" applyAlignment="1" applyProtection="1">
      <alignment horizontal="right" vertical="center" shrinkToFit="1"/>
    </xf>
    <xf numFmtId="0" fontId="13" fillId="3" borderId="28" xfId="9" applyFont="1" applyFill="1" applyBorder="1" applyAlignment="1" applyProtection="1">
      <alignment horizontal="right" vertical="center" shrinkToFit="1"/>
    </xf>
    <xf numFmtId="38" fontId="13" fillId="3" borderId="26" xfId="6" applyFont="1" applyFill="1" applyBorder="1" applyAlignment="1" applyProtection="1">
      <alignment horizontal="right" vertical="center" shrinkToFit="1"/>
      <protection hidden="1"/>
    </xf>
    <xf numFmtId="38" fontId="13" fillId="3" borderId="27" xfId="6" applyFont="1" applyFill="1" applyBorder="1" applyAlignment="1" applyProtection="1">
      <alignment horizontal="right" vertical="center" shrinkToFit="1"/>
      <protection hidden="1"/>
    </xf>
    <xf numFmtId="38" fontId="13" fillId="3" borderId="28" xfId="6" applyFont="1" applyFill="1" applyBorder="1" applyAlignment="1" applyProtection="1">
      <alignment horizontal="right" vertical="center" shrinkToFit="1"/>
      <protection hidden="1"/>
    </xf>
    <xf numFmtId="38" fontId="13" fillId="3" borderId="181" xfId="6" applyFont="1" applyFill="1" applyBorder="1" applyAlignment="1" applyProtection="1">
      <alignment horizontal="right" vertical="center" shrinkToFit="1"/>
      <protection hidden="1"/>
    </xf>
    <xf numFmtId="181" fontId="32" fillId="3" borderId="26" xfId="9" applyNumberFormat="1" applyFont="1" applyFill="1" applyBorder="1" applyAlignment="1" applyProtection="1">
      <alignment horizontal="left" vertical="center"/>
    </xf>
    <xf numFmtId="181" fontId="32" fillId="3" borderId="27" xfId="9" applyNumberFormat="1" applyFont="1" applyFill="1" applyBorder="1" applyAlignment="1" applyProtection="1">
      <alignment horizontal="left" vertical="center"/>
    </xf>
    <xf numFmtId="0" fontId="32" fillId="4" borderId="42" xfId="9" applyFont="1" applyFill="1" applyBorder="1" applyAlignment="1" applyProtection="1">
      <alignment horizontal="left" vertical="center" shrinkToFit="1"/>
    </xf>
    <xf numFmtId="0" fontId="32" fillId="4" borderId="43" xfId="9" applyFont="1" applyFill="1" applyBorder="1" applyAlignment="1" applyProtection="1">
      <alignment horizontal="left" vertical="center" shrinkToFit="1"/>
    </xf>
    <xf numFmtId="0" fontId="32" fillId="4" borderId="44" xfId="9" applyFont="1" applyFill="1" applyBorder="1" applyAlignment="1" applyProtection="1">
      <alignment horizontal="left" vertical="center" shrinkToFit="1"/>
    </xf>
    <xf numFmtId="0" fontId="32" fillId="0" borderId="29" xfId="9" applyFont="1" applyBorder="1" applyAlignment="1" applyProtection="1">
      <alignment horizontal="left" vertical="center" shrinkToFit="1"/>
    </xf>
    <xf numFmtId="0" fontId="32" fillId="0" borderId="30" xfId="9" applyFont="1" applyBorder="1" applyAlignment="1" applyProtection="1">
      <alignment horizontal="left" vertical="center" shrinkToFit="1"/>
    </xf>
    <xf numFmtId="0" fontId="32" fillId="0" borderId="31" xfId="9" applyFont="1" applyBorder="1" applyAlignment="1" applyProtection="1">
      <alignment horizontal="left" vertical="center" shrinkToFit="1"/>
    </xf>
    <xf numFmtId="0" fontId="32" fillId="0" borderId="26" xfId="9" applyFont="1" applyBorder="1" applyAlignment="1" applyProtection="1">
      <alignment horizontal="left" vertical="center" shrinkToFit="1"/>
    </xf>
    <xf numFmtId="0" fontId="32" fillId="0" borderId="27" xfId="9" applyFont="1" applyBorder="1" applyAlignment="1" applyProtection="1">
      <alignment horizontal="left" vertical="center" shrinkToFit="1"/>
    </xf>
    <xf numFmtId="0" fontId="32" fillId="0" borderId="28" xfId="9" applyFont="1" applyBorder="1" applyAlignment="1" applyProtection="1">
      <alignment horizontal="left" vertical="center" shrinkToFit="1"/>
    </xf>
    <xf numFmtId="0" fontId="32" fillId="0" borderId="115" xfId="9" applyFont="1" applyBorder="1" applyAlignment="1" applyProtection="1">
      <alignment horizontal="left" vertical="center" shrinkToFit="1"/>
    </xf>
    <xf numFmtId="0" fontId="32" fillId="0" borderId="116" xfId="9" applyFont="1" applyBorder="1" applyAlignment="1" applyProtection="1">
      <alignment horizontal="left" vertical="center" shrinkToFit="1"/>
    </xf>
    <xf numFmtId="0" fontId="32" fillId="0" borderId="117" xfId="9" applyFont="1" applyBorder="1" applyAlignment="1" applyProtection="1">
      <alignment horizontal="left" vertical="center" shrinkToFit="1"/>
    </xf>
    <xf numFmtId="0" fontId="32" fillId="4" borderId="86" xfId="9" applyFont="1" applyFill="1" applyBorder="1" applyAlignment="1" applyProtection="1">
      <alignment horizontal="left" vertical="center" shrinkToFit="1"/>
    </xf>
    <xf numFmtId="0" fontId="32" fillId="4" borderId="37" xfId="9" applyFont="1" applyFill="1" applyBorder="1" applyAlignment="1" applyProtection="1">
      <alignment horizontal="left" vertical="center" shrinkToFit="1"/>
    </xf>
    <xf numFmtId="0" fontId="32" fillId="4" borderId="38" xfId="9" applyFont="1" applyFill="1" applyBorder="1" applyAlignment="1" applyProtection="1">
      <alignment horizontal="left" vertical="center" shrinkToFit="1"/>
    </xf>
    <xf numFmtId="38" fontId="12" fillId="0" borderId="83" xfId="6" applyFont="1" applyFill="1" applyBorder="1" applyAlignment="1" applyProtection="1">
      <alignment horizontal="center" vertical="center" shrinkToFit="1"/>
    </xf>
    <xf numFmtId="38" fontId="12" fillId="0" borderId="84" xfId="6" applyFont="1" applyFill="1" applyBorder="1" applyAlignment="1" applyProtection="1">
      <alignment horizontal="center" vertical="center" shrinkToFit="1"/>
    </xf>
    <xf numFmtId="38" fontId="12" fillId="0" borderId="85" xfId="6" applyFont="1" applyFill="1" applyBorder="1" applyAlignment="1" applyProtection="1">
      <alignment horizontal="center" vertical="center" shrinkToFit="1"/>
    </xf>
    <xf numFmtId="38" fontId="13" fillId="0" borderId="83" xfId="6" applyFont="1" applyBorder="1" applyAlignment="1" applyProtection="1">
      <alignment horizontal="center" vertical="center" shrinkToFit="1"/>
    </xf>
    <xf numFmtId="38" fontId="13" fillId="0" borderId="84" xfId="6" applyFont="1" applyBorder="1" applyAlignment="1" applyProtection="1">
      <alignment horizontal="center" vertical="center" shrinkToFit="1"/>
    </xf>
    <xf numFmtId="38" fontId="13" fillId="0" borderId="85" xfId="6" applyFont="1" applyBorder="1" applyAlignment="1" applyProtection="1">
      <alignment horizontal="center" vertical="center" shrinkToFit="1"/>
    </xf>
    <xf numFmtId="38" fontId="12" fillId="0" borderId="32" xfId="9" applyNumberFormat="1" applyFont="1" applyFill="1" applyBorder="1" applyAlignment="1" applyProtection="1">
      <alignment horizontal="right" vertical="center" shrinkToFit="1"/>
    </xf>
    <xf numFmtId="0" fontId="12" fillId="0" borderId="33" xfId="9" applyFont="1" applyFill="1" applyBorder="1" applyAlignment="1" applyProtection="1">
      <alignment horizontal="right" vertical="center" shrinkToFit="1"/>
    </xf>
    <xf numFmtId="0" fontId="12" fillId="0" borderId="34" xfId="9" applyFont="1" applyFill="1" applyBorder="1" applyAlignment="1" applyProtection="1">
      <alignment horizontal="right" vertical="center" shrinkToFit="1"/>
    </xf>
    <xf numFmtId="38" fontId="13" fillId="0" borderId="32" xfId="6" applyFont="1" applyBorder="1" applyAlignment="1" applyProtection="1">
      <alignment horizontal="right" vertical="center" shrinkToFit="1"/>
      <protection hidden="1"/>
    </xf>
    <xf numFmtId="38" fontId="13" fillId="0" borderId="33" xfId="6" applyFont="1" applyBorder="1" applyAlignment="1" applyProtection="1">
      <alignment horizontal="right" vertical="center" shrinkToFit="1"/>
      <protection hidden="1"/>
    </xf>
    <xf numFmtId="38" fontId="13" fillId="0" borderId="34" xfId="6" applyFont="1" applyBorder="1" applyAlignment="1" applyProtection="1">
      <alignment horizontal="right" vertical="center" shrinkToFit="1"/>
      <protection hidden="1"/>
    </xf>
    <xf numFmtId="38" fontId="12" fillId="0" borderId="26" xfId="9" applyNumberFormat="1" applyFont="1" applyFill="1" applyBorder="1" applyAlignment="1" applyProtection="1">
      <alignment horizontal="right" vertical="center" shrinkToFit="1"/>
    </xf>
    <xf numFmtId="0" fontId="12" fillId="0" borderId="27" xfId="9" applyFont="1" applyFill="1" applyBorder="1" applyAlignment="1" applyProtection="1">
      <alignment horizontal="right" vertical="center" shrinkToFit="1"/>
    </xf>
    <xf numFmtId="0" fontId="12" fillId="0" borderId="28" xfId="9" applyFont="1" applyFill="1" applyBorder="1" applyAlignment="1" applyProtection="1">
      <alignment horizontal="right" vertical="center" shrinkToFit="1"/>
    </xf>
    <xf numFmtId="38" fontId="13" fillId="0" borderId="26" xfId="6" applyFont="1" applyBorder="1" applyAlignment="1" applyProtection="1">
      <alignment horizontal="right" vertical="center" shrinkToFit="1"/>
      <protection hidden="1"/>
    </xf>
    <xf numFmtId="38" fontId="13" fillId="0" borderId="27" xfId="6" applyFont="1" applyBorder="1" applyAlignment="1" applyProtection="1">
      <alignment horizontal="right" vertical="center" shrinkToFit="1"/>
      <protection hidden="1"/>
    </xf>
    <xf numFmtId="38" fontId="13" fillId="0" borderId="28" xfId="6" applyFont="1" applyBorder="1" applyAlignment="1" applyProtection="1">
      <alignment horizontal="right" vertical="center" shrinkToFit="1"/>
      <protection hidden="1"/>
    </xf>
    <xf numFmtId="38" fontId="12" fillId="0" borderId="29" xfId="9" applyNumberFormat="1" applyFont="1" applyFill="1" applyBorder="1" applyAlignment="1" applyProtection="1">
      <alignment horizontal="right" vertical="center" shrinkToFit="1"/>
    </xf>
    <xf numFmtId="0" fontId="12" fillId="0" borderId="30" xfId="9" applyFont="1" applyFill="1" applyBorder="1" applyAlignment="1" applyProtection="1">
      <alignment horizontal="right" vertical="center" shrinkToFit="1"/>
    </xf>
    <xf numFmtId="0" fontId="12" fillId="0" borderId="31" xfId="9" applyFont="1" applyFill="1" applyBorder="1" applyAlignment="1" applyProtection="1">
      <alignment horizontal="right" vertical="center" shrinkToFit="1"/>
    </xf>
    <xf numFmtId="38" fontId="13" fillId="0" borderId="29" xfId="6" applyFont="1" applyBorder="1" applyAlignment="1" applyProtection="1">
      <alignment horizontal="right" vertical="center" shrinkToFit="1"/>
      <protection hidden="1"/>
    </xf>
    <xf numFmtId="38" fontId="13" fillId="0" borderId="30" xfId="6" applyFont="1" applyBorder="1" applyAlignment="1" applyProtection="1">
      <alignment horizontal="right" vertical="center" shrinkToFit="1"/>
      <protection hidden="1"/>
    </xf>
    <xf numFmtId="38" fontId="13" fillId="0" borderId="31" xfId="6" applyFont="1" applyBorder="1" applyAlignment="1" applyProtection="1">
      <alignment horizontal="right" vertical="center" shrinkToFit="1"/>
      <protection hidden="1"/>
    </xf>
    <xf numFmtId="38" fontId="12" fillId="19" borderId="86" xfId="9" applyNumberFormat="1" applyFont="1" applyFill="1" applyBorder="1" applyAlignment="1" applyProtection="1">
      <alignment horizontal="right" vertical="center" shrinkToFit="1"/>
    </xf>
    <xf numFmtId="0" fontId="12" fillId="19" borderId="37" xfId="9" applyFont="1" applyFill="1" applyBorder="1" applyAlignment="1" applyProtection="1">
      <alignment horizontal="right" vertical="center" shrinkToFit="1"/>
    </xf>
    <xf numFmtId="0" fontId="12" fillId="19" borderId="38" xfId="9" applyFont="1" applyFill="1" applyBorder="1" applyAlignment="1" applyProtection="1">
      <alignment horizontal="right" vertical="center" shrinkToFit="1"/>
    </xf>
    <xf numFmtId="38" fontId="13" fillId="0" borderId="115" xfId="6" applyFont="1" applyBorder="1" applyAlignment="1" applyProtection="1">
      <alignment horizontal="right" vertical="center" shrinkToFit="1"/>
      <protection hidden="1"/>
    </xf>
    <xf numFmtId="38" fontId="13" fillId="0" borderId="116" xfId="6" applyFont="1" applyBorder="1" applyAlignment="1" applyProtection="1">
      <alignment horizontal="right" vertical="center" shrinkToFit="1"/>
      <protection hidden="1"/>
    </xf>
    <xf numFmtId="38" fontId="13" fillId="0" borderId="117" xfId="6" applyFont="1" applyBorder="1" applyAlignment="1" applyProtection="1">
      <alignment horizontal="right" vertical="center" shrinkToFit="1"/>
      <protection hidden="1"/>
    </xf>
    <xf numFmtId="38" fontId="12" fillId="19" borderId="131" xfId="9" applyNumberFormat="1" applyFont="1" applyFill="1" applyBorder="1" applyAlignment="1" applyProtection="1">
      <alignment horizontal="right" vertical="center" shrinkToFit="1"/>
    </xf>
    <xf numFmtId="0" fontId="12" fillId="19" borderId="46" xfId="9" applyFont="1" applyFill="1" applyBorder="1" applyAlignment="1" applyProtection="1">
      <alignment horizontal="right" vertical="center" shrinkToFit="1"/>
    </xf>
    <xf numFmtId="0" fontId="12" fillId="19" borderId="159" xfId="9" applyFont="1" applyFill="1" applyBorder="1" applyAlignment="1" applyProtection="1">
      <alignment horizontal="right" vertical="center" shrinkToFit="1"/>
    </xf>
    <xf numFmtId="38" fontId="13" fillId="19" borderId="131" xfId="6" applyFont="1" applyFill="1" applyBorder="1" applyAlignment="1" applyProtection="1">
      <alignment horizontal="right" vertical="center" shrinkToFit="1"/>
      <protection hidden="1"/>
    </xf>
    <xf numFmtId="38" fontId="13" fillId="19" borderId="46" xfId="6" applyFont="1" applyFill="1" applyBorder="1" applyAlignment="1" applyProtection="1">
      <alignment horizontal="right" vertical="center" shrinkToFit="1"/>
      <protection hidden="1"/>
    </xf>
    <xf numFmtId="38" fontId="13" fillId="19" borderId="159" xfId="6" applyFont="1" applyFill="1" applyBorder="1" applyAlignment="1" applyProtection="1">
      <alignment horizontal="right" vertical="center" shrinkToFit="1"/>
      <protection hidden="1"/>
    </xf>
    <xf numFmtId="38" fontId="12" fillId="19" borderId="7" xfId="9" applyNumberFormat="1" applyFont="1" applyFill="1" applyBorder="1" applyAlignment="1" applyProtection="1">
      <alignment horizontal="right" vertical="center" shrinkToFit="1"/>
    </xf>
    <xf numFmtId="0" fontId="12" fillId="19" borderId="8" xfId="9" applyFont="1" applyFill="1" applyBorder="1" applyAlignment="1" applyProtection="1">
      <alignment horizontal="right" vertical="center" shrinkToFit="1"/>
    </xf>
    <xf numFmtId="0" fontId="12" fillId="19" borderId="13" xfId="9" applyFont="1" applyFill="1" applyBorder="1" applyAlignment="1" applyProtection="1">
      <alignment horizontal="right" vertical="center" shrinkToFit="1"/>
    </xf>
    <xf numFmtId="38" fontId="13" fillId="19" borderId="7" xfId="6" applyFont="1" applyFill="1" applyBorder="1" applyAlignment="1" applyProtection="1">
      <alignment horizontal="right" vertical="center" shrinkToFit="1"/>
      <protection hidden="1"/>
    </xf>
    <xf numFmtId="38" fontId="13" fillId="19" borderId="8" xfId="6" applyFont="1" applyFill="1" applyBorder="1" applyAlignment="1" applyProtection="1">
      <alignment horizontal="right" vertical="center" shrinkToFit="1"/>
      <protection hidden="1"/>
    </xf>
    <xf numFmtId="38" fontId="13" fillId="19" borderId="13" xfId="6" applyFont="1" applyFill="1" applyBorder="1" applyAlignment="1" applyProtection="1">
      <alignment horizontal="right" vertical="center" shrinkToFit="1"/>
      <protection hidden="1"/>
    </xf>
    <xf numFmtId="38" fontId="12" fillId="0" borderId="131" xfId="9" applyNumberFormat="1" applyFont="1" applyFill="1" applyBorder="1" applyAlignment="1" applyProtection="1">
      <alignment horizontal="right" vertical="center" shrinkToFit="1"/>
    </xf>
    <xf numFmtId="0" fontId="12" fillId="0" borderId="46" xfId="9" applyFont="1" applyFill="1" applyBorder="1" applyAlignment="1" applyProtection="1">
      <alignment horizontal="right" vertical="center" shrinkToFit="1"/>
    </xf>
    <xf numFmtId="0" fontId="12" fillId="0" borderId="159" xfId="9" applyFont="1" applyFill="1" applyBorder="1" applyAlignment="1" applyProtection="1">
      <alignment horizontal="right" vertical="center" shrinkToFit="1"/>
    </xf>
    <xf numFmtId="38" fontId="13" fillId="0" borderId="131" xfId="6" applyFont="1" applyBorder="1" applyAlignment="1" applyProtection="1">
      <alignment horizontal="right" vertical="center" shrinkToFit="1"/>
      <protection hidden="1"/>
    </xf>
    <xf numFmtId="38" fontId="13" fillId="0" borderId="46" xfId="6" applyFont="1" applyBorder="1" applyAlignment="1" applyProtection="1">
      <alignment horizontal="right" vertical="center" shrinkToFit="1"/>
      <protection hidden="1"/>
    </xf>
    <xf numFmtId="38" fontId="13" fillId="0" borderId="159" xfId="6" applyFont="1" applyBorder="1" applyAlignment="1" applyProtection="1">
      <alignment horizontal="right" vertical="center" shrinkToFit="1"/>
      <protection hidden="1"/>
    </xf>
    <xf numFmtId="38" fontId="12" fillId="0" borderId="113" xfId="9" applyNumberFormat="1" applyFont="1" applyFill="1" applyBorder="1" applyAlignment="1" applyProtection="1">
      <alignment horizontal="right" vertical="center" shrinkToFit="1"/>
    </xf>
    <xf numFmtId="0" fontId="12" fillId="0" borderId="114" xfId="9" applyFont="1" applyFill="1" applyBorder="1" applyAlignment="1" applyProtection="1">
      <alignment horizontal="right" vertical="center" shrinkToFit="1"/>
    </xf>
    <xf numFmtId="0" fontId="12" fillId="0" borderId="140" xfId="9" applyFont="1" applyFill="1" applyBorder="1" applyAlignment="1" applyProtection="1">
      <alignment horizontal="right" vertical="center" shrinkToFit="1"/>
    </xf>
    <xf numFmtId="38" fontId="13" fillId="0" borderId="113" xfId="6" applyFont="1" applyBorder="1" applyAlignment="1" applyProtection="1">
      <alignment horizontal="right" vertical="center" shrinkToFit="1"/>
      <protection hidden="1"/>
    </xf>
    <xf numFmtId="38" fontId="13" fillId="0" borderId="114" xfId="6" applyFont="1" applyBorder="1" applyAlignment="1" applyProtection="1">
      <alignment horizontal="right" vertical="center" shrinkToFit="1"/>
      <protection hidden="1"/>
    </xf>
    <xf numFmtId="38" fontId="13" fillId="0" borderId="140" xfId="6" applyFont="1" applyBorder="1" applyAlignment="1" applyProtection="1">
      <alignment horizontal="right" vertical="center" shrinkToFit="1"/>
      <protection hidden="1"/>
    </xf>
    <xf numFmtId="38" fontId="12" fillId="0" borderId="162" xfId="9" applyNumberFormat="1" applyFont="1" applyFill="1" applyBorder="1" applyAlignment="1" applyProtection="1">
      <alignment horizontal="right" vertical="center" shrinkToFit="1"/>
    </xf>
    <xf numFmtId="0" fontId="12" fillId="0" borderId="112" xfId="9" applyFont="1" applyFill="1" applyBorder="1" applyAlignment="1" applyProtection="1">
      <alignment horizontal="right" vertical="center" shrinkToFit="1"/>
    </xf>
    <xf numFmtId="0" fontId="12" fillId="0" borderId="163" xfId="9" applyFont="1" applyFill="1" applyBorder="1" applyAlignment="1" applyProtection="1">
      <alignment horizontal="right" vertical="center" shrinkToFit="1"/>
    </xf>
    <xf numFmtId="38" fontId="13" fillId="0" borderId="162" xfId="6" applyFont="1" applyBorder="1" applyAlignment="1" applyProtection="1">
      <alignment horizontal="right" vertical="center" shrinkToFit="1"/>
      <protection hidden="1"/>
    </xf>
    <xf numFmtId="38" fontId="13" fillId="0" borderId="112" xfId="6" applyFont="1" applyBorder="1" applyAlignment="1" applyProtection="1">
      <alignment horizontal="right" vertical="center" shrinkToFit="1"/>
      <protection hidden="1"/>
    </xf>
    <xf numFmtId="38" fontId="13" fillId="0" borderId="163" xfId="6" applyFont="1" applyBorder="1" applyAlignment="1" applyProtection="1">
      <alignment horizontal="right" vertical="center" shrinkToFit="1"/>
      <protection hidden="1"/>
    </xf>
    <xf numFmtId="38" fontId="13" fillId="19" borderId="86" xfId="6" applyFont="1" applyFill="1" applyBorder="1" applyAlignment="1" applyProtection="1">
      <alignment horizontal="right" vertical="center" shrinkToFit="1"/>
      <protection hidden="1"/>
    </xf>
    <xf numFmtId="38" fontId="13" fillId="19" borderId="37" xfId="6" applyFont="1" applyFill="1" applyBorder="1" applyAlignment="1" applyProtection="1">
      <alignment horizontal="right" vertical="center" shrinkToFit="1"/>
      <protection hidden="1"/>
    </xf>
    <xf numFmtId="38" fontId="13" fillId="19" borderId="38" xfId="6" applyFont="1" applyFill="1" applyBorder="1" applyAlignment="1" applyProtection="1">
      <alignment horizontal="right" vertical="center" shrinkToFit="1"/>
      <protection hidden="1"/>
    </xf>
    <xf numFmtId="38" fontId="12" fillId="0" borderId="115" xfId="9" applyNumberFormat="1" applyFont="1" applyFill="1" applyBorder="1" applyAlignment="1" applyProtection="1">
      <alignment horizontal="right" vertical="center" shrinkToFit="1"/>
    </xf>
    <xf numFmtId="0" fontId="12" fillId="0" borderId="116" xfId="9" applyFont="1" applyFill="1" applyBorder="1" applyAlignment="1" applyProtection="1">
      <alignment horizontal="right" vertical="center" shrinkToFit="1"/>
    </xf>
    <xf numFmtId="0" fontId="12" fillId="0" borderId="117" xfId="9" applyFont="1" applyFill="1" applyBorder="1" applyAlignment="1" applyProtection="1">
      <alignment horizontal="right" vertical="center" shrinkToFit="1"/>
    </xf>
    <xf numFmtId="38" fontId="12" fillId="19" borderId="42" xfId="9" applyNumberFormat="1" applyFont="1" applyFill="1" applyBorder="1" applyAlignment="1" applyProtection="1">
      <alignment horizontal="right" vertical="center" shrinkToFit="1"/>
    </xf>
    <xf numFmtId="0" fontId="12" fillId="19" borderId="43" xfId="9" applyFont="1" applyFill="1" applyBorder="1" applyAlignment="1" applyProtection="1">
      <alignment horizontal="right" vertical="center" shrinkToFit="1"/>
    </xf>
    <xf numFmtId="0" fontId="12" fillId="19" borderId="44" xfId="9" applyFont="1" applyFill="1" applyBorder="1" applyAlignment="1" applyProtection="1">
      <alignment horizontal="right" vertical="center" shrinkToFit="1"/>
    </xf>
    <xf numFmtId="0" fontId="13" fillId="0" borderId="0" xfId="9" applyFont="1" applyAlignment="1" applyProtection="1">
      <alignment horizontal="left" vertical="center" shrinkToFit="1"/>
    </xf>
    <xf numFmtId="0" fontId="13" fillId="4" borderId="77" xfId="0" applyFont="1" applyFill="1" applyBorder="1" applyAlignment="1" applyProtection="1">
      <alignment horizontal="left" vertical="center" wrapText="1"/>
    </xf>
    <xf numFmtId="0" fontId="13" fillId="4" borderId="68" xfId="0" applyFont="1" applyFill="1" applyBorder="1" applyAlignment="1" applyProtection="1">
      <alignment horizontal="left" vertical="center" wrapText="1"/>
    </xf>
    <xf numFmtId="0" fontId="13" fillId="4" borderId="74" xfId="0" applyFont="1" applyFill="1" applyBorder="1" applyAlignment="1" applyProtection="1">
      <alignment horizontal="left" vertical="center" wrapText="1"/>
    </xf>
    <xf numFmtId="0" fontId="13" fillId="3" borderId="66" xfId="0" applyFont="1" applyFill="1" applyBorder="1" applyAlignment="1" applyProtection="1">
      <alignment horizontal="left" vertical="center" indent="1" shrinkToFit="1"/>
    </xf>
    <xf numFmtId="0" fontId="13" fillId="3" borderId="15" xfId="0" applyFont="1" applyFill="1" applyBorder="1" applyAlignment="1" applyProtection="1">
      <alignment horizontal="left" vertical="center" indent="1" shrinkToFit="1"/>
    </xf>
    <xf numFmtId="0" fontId="13" fillId="3" borderId="3" xfId="0" applyFont="1" applyFill="1" applyBorder="1" applyAlignment="1" applyProtection="1">
      <alignment horizontal="left" vertical="center" indent="1" shrinkToFit="1"/>
    </xf>
    <xf numFmtId="38" fontId="13" fillId="3" borderId="4" xfId="1" applyFont="1" applyFill="1" applyBorder="1" applyAlignment="1" applyProtection="1">
      <alignment horizontal="right" vertical="center"/>
    </xf>
    <xf numFmtId="38" fontId="13" fillId="0" borderId="4" xfId="1" applyFont="1" applyFill="1" applyBorder="1" applyAlignment="1" applyProtection="1">
      <alignment horizontal="right" vertical="center"/>
      <protection locked="0"/>
    </xf>
    <xf numFmtId="0" fontId="13" fillId="4" borderId="80" xfId="0" applyFont="1" applyFill="1" applyBorder="1" applyAlignment="1" applyProtection="1">
      <alignment horizontal="center" vertical="center" wrapText="1"/>
    </xf>
    <xf numFmtId="38" fontId="13" fillId="3" borderId="66" xfId="1" applyFont="1" applyFill="1" applyBorder="1" applyAlignment="1" applyProtection="1">
      <alignment horizontal="center" vertical="center"/>
    </xf>
    <xf numFmtId="38" fontId="13" fillId="3" borderId="15" xfId="1" applyFont="1" applyFill="1" applyBorder="1" applyAlignment="1" applyProtection="1">
      <alignment horizontal="center" vertical="center"/>
    </xf>
    <xf numFmtId="38" fontId="13" fillId="3" borderId="67" xfId="1" applyFont="1" applyFill="1" applyBorder="1" applyAlignment="1" applyProtection="1">
      <alignment horizontal="center" vertical="center"/>
    </xf>
    <xf numFmtId="0" fontId="13" fillId="17" borderId="4" xfId="0" applyFont="1" applyFill="1" applyBorder="1" applyAlignment="1" applyProtection="1">
      <alignment horizontal="center" vertical="center" shrinkToFit="1"/>
    </xf>
    <xf numFmtId="0" fontId="13" fillId="17" borderId="26" xfId="0" applyFont="1" applyFill="1" applyBorder="1" applyAlignment="1" applyProtection="1">
      <alignment horizontal="center" vertical="center"/>
    </xf>
    <xf numFmtId="0" fontId="13" fillId="17" borderId="27" xfId="0" applyFont="1" applyFill="1" applyBorder="1" applyAlignment="1" applyProtection="1">
      <alignment horizontal="center" vertical="center"/>
    </xf>
    <xf numFmtId="0" fontId="13" fillId="17" borderId="28" xfId="0" applyFont="1" applyFill="1" applyBorder="1" applyAlignment="1" applyProtection="1">
      <alignment horizontal="center" vertical="center"/>
    </xf>
    <xf numFmtId="0" fontId="13" fillId="17" borderId="29" xfId="0" applyFont="1" applyFill="1" applyBorder="1" applyAlignment="1" applyProtection="1">
      <alignment horizontal="center" vertical="center"/>
    </xf>
    <xf numFmtId="0" fontId="13" fillId="17" borderId="30" xfId="0" applyFont="1" applyFill="1" applyBorder="1" applyAlignment="1" applyProtection="1">
      <alignment horizontal="center" vertical="center"/>
    </xf>
    <xf numFmtId="0" fontId="13" fillId="17" borderId="31" xfId="0" applyFont="1" applyFill="1" applyBorder="1" applyAlignment="1" applyProtection="1">
      <alignment horizontal="center" vertical="center"/>
    </xf>
    <xf numFmtId="0" fontId="13" fillId="17" borderId="14" xfId="0" applyFont="1" applyFill="1" applyBorder="1" applyAlignment="1" applyProtection="1">
      <alignment horizontal="center" vertical="center" shrinkToFit="1"/>
    </xf>
    <xf numFmtId="0" fontId="13" fillId="17" borderId="15" xfId="0" applyFont="1" applyFill="1" applyBorder="1" applyAlignment="1" applyProtection="1">
      <alignment horizontal="center" vertical="center" shrinkToFit="1"/>
    </xf>
    <xf numFmtId="0" fontId="13" fillId="17" borderId="3" xfId="0" applyFont="1" applyFill="1" applyBorder="1" applyAlignment="1" applyProtection="1">
      <alignment horizontal="center" vertical="center" shrinkToFit="1"/>
    </xf>
    <xf numFmtId="38" fontId="13" fillId="17" borderId="4" xfId="1" applyFont="1" applyFill="1" applyBorder="1" applyAlignment="1" applyProtection="1">
      <alignment horizontal="center" vertical="center" shrinkToFit="1"/>
    </xf>
    <xf numFmtId="0" fontId="13" fillId="6" borderId="66" xfId="0" applyFont="1" applyFill="1" applyBorder="1" applyAlignment="1" applyProtection="1">
      <alignment horizontal="left" vertical="center" shrinkToFit="1"/>
    </xf>
    <xf numFmtId="0" fontId="13" fillId="6" borderId="15" xfId="0" applyFont="1" applyFill="1" applyBorder="1" applyAlignment="1" applyProtection="1">
      <alignment horizontal="left" vertical="center" shrinkToFit="1"/>
    </xf>
    <xf numFmtId="0" fontId="13" fillId="6" borderId="3" xfId="0" applyFont="1" applyFill="1" applyBorder="1" applyAlignment="1" applyProtection="1">
      <alignment horizontal="left" vertical="center" shrinkToFit="1"/>
    </xf>
    <xf numFmtId="38" fontId="13" fillId="0" borderId="14" xfId="1" applyFont="1" applyFill="1" applyBorder="1" applyAlignment="1" applyProtection="1">
      <alignment horizontal="center" vertical="center"/>
      <protection locked="0"/>
    </xf>
    <xf numFmtId="38" fontId="13" fillId="0" borderId="15" xfId="1" applyFont="1" applyFill="1" applyBorder="1" applyAlignment="1" applyProtection="1">
      <alignment horizontal="center" vertical="center"/>
      <protection locked="0"/>
    </xf>
    <xf numFmtId="38" fontId="13" fillId="0" borderId="67" xfId="1" applyFont="1" applyFill="1" applyBorder="1" applyAlignment="1" applyProtection="1">
      <alignment horizontal="center" vertical="center"/>
      <protection locked="0"/>
    </xf>
    <xf numFmtId="0" fontId="15" fillId="5" borderId="14" xfId="0" applyFont="1" applyFill="1" applyBorder="1" applyAlignment="1" applyProtection="1">
      <alignment horizontal="left" vertical="center" shrinkToFit="1"/>
    </xf>
    <xf numFmtId="0" fontId="15" fillId="5" borderId="15" xfId="0" applyFont="1" applyFill="1" applyBorder="1" applyAlignment="1" applyProtection="1">
      <alignment horizontal="left" vertical="center" shrinkToFit="1"/>
    </xf>
    <xf numFmtId="0" fontId="15" fillId="5" borderId="3" xfId="0" applyFont="1" applyFill="1" applyBorder="1" applyAlignment="1" applyProtection="1">
      <alignment horizontal="left" vertical="center" shrinkToFit="1"/>
    </xf>
    <xf numFmtId="0" fontId="13" fillId="2" borderId="80" xfId="0" applyFont="1" applyFill="1" applyBorder="1" applyAlignment="1" applyProtection="1">
      <alignment horizontal="center" vertical="center"/>
      <protection locked="0"/>
    </xf>
    <xf numFmtId="0" fontId="13" fillId="2" borderId="65" xfId="0" applyFont="1" applyFill="1" applyBorder="1" applyAlignment="1" applyProtection="1">
      <alignment horizontal="center" vertical="center"/>
      <protection locked="0"/>
    </xf>
    <xf numFmtId="0" fontId="13" fillId="0" borderId="77" xfId="0" applyFont="1" applyFill="1" applyBorder="1" applyAlignment="1" applyProtection="1">
      <alignment horizontal="center" vertical="center" wrapText="1"/>
    </xf>
    <xf numFmtId="0" fontId="13" fillId="0" borderId="68" xfId="0" applyFont="1" applyFill="1" applyBorder="1" applyAlignment="1" applyProtection="1">
      <alignment horizontal="center" vertical="center" wrapText="1"/>
    </xf>
    <xf numFmtId="0" fontId="13" fillId="0" borderId="69" xfId="0" applyFont="1" applyFill="1" applyBorder="1" applyAlignment="1" applyProtection="1">
      <alignment horizontal="center" vertical="center" wrapText="1"/>
    </xf>
    <xf numFmtId="38" fontId="13" fillId="0" borderId="4" xfId="1" applyFont="1" applyFill="1" applyBorder="1" applyAlignment="1" applyProtection="1">
      <alignment horizontal="right" vertical="center"/>
    </xf>
    <xf numFmtId="0" fontId="13" fillId="4" borderId="66" xfId="0" applyFont="1" applyFill="1" applyBorder="1" applyAlignment="1" applyProtection="1">
      <alignment horizontal="left" vertical="center" wrapText="1"/>
    </xf>
    <xf numFmtId="0" fontId="13" fillId="4" borderId="15" xfId="0" applyFont="1" applyFill="1" applyBorder="1" applyAlignment="1" applyProtection="1">
      <alignment horizontal="left" vertical="center" wrapText="1"/>
    </xf>
    <xf numFmtId="0" fontId="13" fillId="4" borderId="3" xfId="0" applyFont="1" applyFill="1" applyBorder="1" applyAlignment="1" applyProtection="1">
      <alignment horizontal="left" vertical="center" wrapText="1"/>
    </xf>
    <xf numFmtId="0" fontId="13" fillId="0" borderId="28" xfId="0" applyFont="1" applyFill="1" applyBorder="1" applyAlignment="1" applyProtection="1">
      <alignment horizontal="center" vertical="center"/>
    </xf>
    <xf numFmtId="0" fontId="13" fillId="0" borderId="63" xfId="0" applyFont="1" applyFill="1" applyBorder="1" applyAlignment="1" applyProtection="1">
      <alignment horizontal="center" vertical="center"/>
    </xf>
    <xf numFmtId="38" fontId="13" fillId="0" borderId="66" xfId="1" applyFont="1" applyFill="1" applyBorder="1" applyAlignment="1" applyProtection="1">
      <alignment horizontal="left" vertical="center" indent="1" shrinkToFit="1"/>
    </xf>
    <xf numFmtId="38" fontId="13" fillId="0" borderId="15" xfId="1" applyFont="1" applyFill="1" applyBorder="1" applyAlignment="1" applyProtection="1">
      <alignment horizontal="left" vertical="center" indent="1" shrinkToFit="1"/>
    </xf>
    <xf numFmtId="38" fontId="13" fillId="0" borderId="3" xfId="1" applyFont="1" applyFill="1" applyBorder="1" applyAlignment="1" applyProtection="1">
      <alignment horizontal="left" vertical="center" indent="1" shrinkToFit="1"/>
    </xf>
    <xf numFmtId="0" fontId="13" fillId="4" borderId="76" xfId="0" applyFont="1" applyFill="1" applyBorder="1" applyAlignment="1" applyProtection="1">
      <alignment horizontal="left" vertical="center" wrapText="1"/>
    </xf>
    <xf numFmtId="0" fontId="13" fillId="4" borderId="8" xfId="0" applyFont="1" applyFill="1" applyBorder="1" applyAlignment="1" applyProtection="1">
      <alignment horizontal="left" vertical="center" wrapText="1"/>
    </xf>
    <xf numFmtId="0" fontId="13" fillId="4" borderId="13" xfId="0" applyFont="1" applyFill="1" applyBorder="1" applyAlignment="1" applyProtection="1">
      <alignment horizontal="left" vertical="center" wrapText="1"/>
    </xf>
    <xf numFmtId="0" fontId="13" fillId="4" borderId="89" xfId="0" applyFont="1" applyFill="1" applyBorder="1" applyAlignment="1" applyProtection="1">
      <alignment horizontal="center" vertical="center" wrapText="1" shrinkToFit="1"/>
    </xf>
    <xf numFmtId="0" fontId="13" fillId="4" borderId="90" xfId="0" applyFont="1" applyFill="1" applyBorder="1" applyAlignment="1" applyProtection="1">
      <alignment horizontal="center" vertical="center" wrapText="1" shrinkToFit="1"/>
    </xf>
    <xf numFmtId="0" fontId="13" fillId="4" borderId="91" xfId="0" applyFont="1" applyFill="1" applyBorder="1" applyAlignment="1" applyProtection="1">
      <alignment horizontal="center" vertical="center" wrapText="1" shrinkToFit="1"/>
    </xf>
    <xf numFmtId="38" fontId="13" fillId="3" borderId="191" xfId="1" applyFont="1" applyFill="1" applyBorder="1" applyAlignment="1" applyProtection="1">
      <alignment horizontal="right" vertical="center"/>
    </xf>
    <xf numFmtId="38" fontId="13" fillId="3" borderId="6" xfId="1" applyFont="1" applyFill="1" applyBorder="1" applyAlignment="1" applyProtection="1">
      <alignment horizontal="right" vertical="center"/>
    </xf>
    <xf numFmtId="38" fontId="13" fillId="3" borderId="29" xfId="0" applyNumberFormat="1" applyFont="1" applyFill="1" applyBorder="1" applyAlignment="1" applyProtection="1">
      <alignment horizontal="right" vertical="center"/>
    </xf>
    <xf numFmtId="0" fontId="13" fillId="3" borderId="30" xfId="0" applyFont="1" applyFill="1" applyBorder="1" applyAlignment="1" applyProtection="1">
      <alignment horizontal="right" vertical="center"/>
    </xf>
    <xf numFmtId="0" fontId="13" fillId="3" borderId="31" xfId="0" applyFont="1" applyFill="1" applyBorder="1" applyAlignment="1" applyProtection="1">
      <alignment horizontal="right" vertical="center"/>
    </xf>
    <xf numFmtId="0" fontId="13" fillId="4" borderId="14" xfId="0" applyFont="1" applyFill="1" applyBorder="1" applyAlignment="1" applyProtection="1">
      <alignment horizontal="center" vertical="center"/>
    </xf>
    <xf numFmtId="0" fontId="13" fillId="4" borderId="15" xfId="0" applyFont="1" applyFill="1" applyBorder="1" applyAlignment="1" applyProtection="1">
      <alignment horizontal="center" vertical="center"/>
    </xf>
    <xf numFmtId="0" fontId="13" fillId="4" borderId="82"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38" fontId="13" fillId="2" borderId="4" xfId="1" applyFont="1" applyFill="1" applyBorder="1" applyAlignment="1" applyProtection="1">
      <alignment horizontal="center" vertical="center"/>
      <protection locked="0"/>
    </xf>
    <xf numFmtId="0" fontId="13" fillId="17" borderId="0" xfId="0" applyFont="1" applyFill="1" applyBorder="1" applyAlignment="1" applyProtection="1">
      <alignment horizontal="left" vertical="center" wrapText="1"/>
    </xf>
    <xf numFmtId="178" fontId="13" fillId="2" borderId="96" xfId="1" applyNumberFormat="1" applyFont="1" applyFill="1" applyBorder="1" applyAlignment="1" applyProtection="1">
      <alignment horizontal="center" vertical="center"/>
    </xf>
    <xf numFmtId="0" fontId="15" fillId="5" borderId="14" xfId="0" applyFont="1" applyFill="1" applyBorder="1" applyAlignment="1" applyProtection="1">
      <alignment horizontal="left" vertical="center"/>
    </xf>
    <xf numFmtId="0" fontId="15" fillId="5" borderId="15" xfId="0" applyFont="1" applyFill="1" applyBorder="1" applyAlignment="1" applyProtection="1">
      <alignment horizontal="left" vertical="center"/>
    </xf>
    <xf numFmtId="0" fontId="15" fillId="5" borderId="3" xfId="0" applyFont="1" applyFill="1" applyBorder="1" applyAlignment="1" applyProtection="1">
      <alignment horizontal="left" vertical="center"/>
    </xf>
    <xf numFmtId="0" fontId="13" fillId="3" borderId="70" xfId="0" applyFont="1" applyFill="1" applyBorder="1" applyAlignment="1" applyProtection="1">
      <alignment horizontal="left" vertical="center" wrapText="1"/>
    </xf>
    <xf numFmtId="0" fontId="13" fillId="3" borderId="16" xfId="0" applyFont="1" applyFill="1" applyBorder="1" applyAlignment="1" applyProtection="1">
      <alignment horizontal="left" vertical="center" wrapText="1"/>
    </xf>
    <xf numFmtId="0" fontId="13" fillId="3" borderId="17" xfId="0" applyFont="1" applyFill="1" applyBorder="1" applyAlignment="1" applyProtection="1">
      <alignment horizontal="left" vertical="center" wrapText="1"/>
    </xf>
    <xf numFmtId="0" fontId="13" fillId="3" borderId="25"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13" fillId="3" borderId="18" xfId="0" applyFont="1" applyFill="1" applyBorder="1" applyAlignment="1" applyProtection="1">
      <alignment horizontal="left" vertical="center" wrapText="1"/>
    </xf>
    <xf numFmtId="0" fontId="13" fillId="3" borderId="71" xfId="0" applyFont="1" applyFill="1" applyBorder="1" applyAlignment="1" applyProtection="1">
      <alignment horizontal="left" vertical="center" wrapText="1"/>
    </xf>
    <xf numFmtId="0" fontId="13" fillId="3" borderId="19" xfId="0" applyFont="1" applyFill="1" applyBorder="1" applyAlignment="1" applyProtection="1">
      <alignment horizontal="left" vertical="center" wrapText="1"/>
    </xf>
    <xf numFmtId="0" fontId="13" fillId="3" borderId="20" xfId="0" applyFont="1" applyFill="1" applyBorder="1" applyAlignment="1" applyProtection="1">
      <alignment horizontal="left" vertical="center" wrapText="1"/>
    </xf>
    <xf numFmtId="38" fontId="13" fillId="2" borderId="14" xfId="1" applyFont="1" applyFill="1" applyBorder="1" applyAlignment="1" applyProtection="1">
      <alignment horizontal="center" vertical="center"/>
      <protection locked="0"/>
    </xf>
    <xf numFmtId="38" fontId="13" fillId="2" borderId="3" xfId="1"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top" wrapText="1"/>
    </xf>
    <xf numFmtId="0" fontId="13" fillId="4" borderId="14"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shrinkToFit="1"/>
    </xf>
    <xf numFmtId="0" fontId="13" fillId="2" borderId="88" xfId="0" applyFont="1" applyFill="1" applyBorder="1" applyAlignment="1" applyProtection="1">
      <alignment horizontal="center" vertical="center"/>
      <protection locked="0"/>
    </xf>
    <xf numFmtId="0" fontId="13" fillId="2" borderId="142" xfId="0" applyFont="1" applyFill="1" applyBorder="1" applyAlignment="1" applyProtection="1">
      <alignment horizontal="center" vertical="center"/>
      <protection locked="0"/>
    </xf>
    <xf numFmtId="0" fontId="13" fillId="17" borderId="51" xfId="1" applyNumberFormat="1" applyFont="1" applyFill="1" applyBorder="1" applyAlignment="1" applyProtection="1">
      <alignment horizontal="right" vertical="center"/>
    </xf>
    <xf numFmtId="38" fontId="13" fillId="17" borderId="51" xfId="1" applyFont="1" applyFill="1" applyBorder="1" applyAlignment="1" applyProtection="1">
      <alignment horizontal="right" vertical="center"/>
    </xf>
    <xf numFmtId="0" fontId="13" fillId="0" borderId="8" xfId="0" applyFont="1" applyFill="1" applyBorder="1" applyAlignment="1" applyProtection="1">
      <alignment horizontal="left" vertical="center" wrapText="1"/>
    </xf>
    <xf numFmtId="0" fontId="13" fillId="0" borderId="37" xfId="0" applyFont="1" applyBorder="1" applyAlignment="1" applyProtection="1">
      <alignment horizontal="left" vertical="center"/>
      <protection locked="0"/>
    </xf>
    <xf numFmtId="0" fontId="13" fillId="0" borderId="86" xfId="0" applyFont="1" applyBorder="1" applyAlignment="1" applyProtection="1">
      <alignment horizontal="right" vertical="center" shrinkToFit="1"/>
    </xf>
    <xf numFmtId="0" fontId="13" fillId="0" borderId="37" xfId="0" applyFont="1" applyBorder="1" applyAlignment="1" applyProtection="1">
      <alignment horizontal="right" vertical="center" shrinkToFit="1"/>
    </xf>
    <xf numFmtId="0" fontId="13" fillId="0" borderId="26" xfId="0" applyFont="1" applyFill="1" applyBorder="1" applyAlignment="1" applyProtection="1">
      <alignment horizontal="left" vertical="center" shrinkToFit="1"/>
    </xf>
    <xf numFmtId="0" fontId="13" fillId="0" borderId="27" xfId="0" applyFont="1" applyFill="1" applyBorder="1" applyAlignment="1" applyProtection="1">
      <alignment horizontal="left" vertical="center" shrinkToFit="1"/>
    </xf>
    <xf numFmtId="0" fontId="13" fillId="0" borderId="28" xfId="0" applyFont="1" applyFill="1" applyBorder="1" applyAlignment="1" applyProtection="1">
      <alignment horizontal="left" vertical="center" shrinkToFit="1"/>
    </xf>
    <xf numFmtId="0" fontId="13" fillId="0" borderId="0" xfId="0" applyFont="1" applyFill="1" applyAlignment="1" applyProtection="1">
      <alignment horizontal="left" vertical="center" wrapText="1"/>
    </xf>
    <xf numFmtId="0" fontId="13" fillId="0" borderId="27" xfId="0" applyFont="1" applyFill="1" applyBorder="1" applyAlignment="1" applyProtection="1">
      <alignment horizontal="left" vertical="top" shrinkToFit="1"/>
    </xf>
    <xf numFmtId="0" fontId="13" fillId="0" borderId="28" xfId="0" applyFont="1" applyFill="1" applyBorder="1" applyAlignment="1" applyProtection="1">
      <alignment horizontal="left" vertical="top" shrinkToFit="1"/>
    </xf>
    <xf numFmtId="0" fontId="13" fillId="0" borderId="26" xfId="0" applyFont="1" applyFill="1" applyBorder="1" applyAlignment="1" applyProtection="1">
      <alignment horizontal="center" vertical="center"/>
    </xf>
    <xf numFmtId="0" fontId="15" fillId="17" borderId="4" xfId="0" applyFont="1" applyFill="1" applyBorder="1" applyAlignment="1" applyProtection="1">
      <alignment horizontal="center" vertical="center"/>
    </xf>
    <xf numFmtId="178" fontId="13" fillId="2" borderId="4" xfId="1" applyNumberFormat="1" applyFont="1" applyFill="1" applyBorder="1" applyAlignment="1" applyProtection="1">
      <alignment horizontal="center" vertical="center"/>
      <protection locked="0"/>
    </xf>
    <xf numFmtId="0" fontId="13" fillId="17" borderId="26" xfId="0" applyFont="1" applyFill="1" applyBorder="1" applyAlignment="1" applyProtection="1">
      <alignment horizontal="left" vertical="center"/>
    </xf>
    <xf numFmtId="0" fontId="13" fillId="17" borderId="27" xfId="0" applyFont="1" applyFill="1" applyBorder="1" applyAlignment="1" applyProtection="1">
      <alignment horizontal="left" vertical="center"/>
    </xf>
    <xf numFmtId="0" fontId="13" fillId="17" borderId="28" xfId="0" applyFont="1" applyFill="1" applyBorder="1" applyAlignment="1" applyProtection="1">
      <alignment horizontal="left" vertical="center"/>
    </xf>
    <xf numFmtId="0" fontId="13" fillId="3" borderId="63" xfId="0" applyFont="1" applyFill="1" applyBorder="1" applyAlignment="1" applyProtection="1">
      <alignment horizontal="right" vertical="center"/>
    </xf>
    <xf numFmtId="0" fontId="13" fillId="2" borderId="174" xfId="0" applyFont="1" applyFill="1" applyBorder="1" applyAlignment="1" applyProtection="1">
      <alignment horizontal="left" vertical="center" shrinkToFit="1"/>
    </xf>
    <xf numFmtId="0" fontId="13" fillId="2" borderId="4" xfId="0" applyFont="1" applyFill="1" applyBorder="1" applyAlignment="1" applyProtection="1">
      <alignment horizontal="left" vertical="center" shrinkToFit="1"/>
    </xf>
    <xf numFmtId="0" fontId="13" fillId="17" borderId="63" xfId="0" applyFont="1" applyFill="1" applyBorder="1" applyAlignment="1" applyProtection="1">
      <alignment horizontal="left" vertical="center" shrinkToFit="1"/>
    </xf>
    <xf numFmtId="38" fontId="13" fillId="17" borderId="32" xfId="1" applyFont="1" applyFill="1" applyBorder="1" applyAlignment="1" applyProtection="1">
      <alignment horizontal="right" vertical="center"/>
    </xf>
    <xf numFmtId="38" fontId="13" fillId="17" borderId="33" xfId="1" applyFont="1" applyFill="1" applyBorder="1" applyAlignment="1" applyProtection="1">
      <alignment horizontal="right" vertical="center"/>
    </xf>
    <xf numFmtId="38" fontId="13" fillId="17" borderId="34" xfId="1" applyFont="1" applyFill="1" applyBorder="1" applyAlignment="1" applyProtection="1">
      <alignment horizontal="right" vertical="center"/>
    </xf>
    <xf numFmtId="0" fontId="13" fillId="17" borderId="32" xfId="0" applyFont="1" applyFill="1" applyBorder="1" applyAlignment="1" applyProtection="1">
      <alignment horizontal="center" vertical="center"/>
    </xf>
    <xf numFmtId="0" fontId="13" fillId="17" borderId="34" xfId="0" applyFont="1" applyFill="1" applyBorder="1" applyAlignment="1" applyProtection="1">
      <alignment horizontal="center" vertical="center"/>
    </xf>
    <xf numFmtId="38" fontId="13" fillId="3" borderId="174" xfId="1" applyFont="1" applyFill="1" applyBorder="1" applyAlignment="1" applyProtection="1">
      <alignment horizontal="right" vertical="center"/>
    </xf>
    <xf numFmtId="0" fontId="13" fillId="0" borderId="34" xfId="0" applyFont="1" applyFill="1" applyBorder="1" applyAlignment="1" applyProtection="1">
      <alignment horizontal="center" vertical="center"/>
    </xf>
    <xf numFmtId="0" fontId="13" fillId="0" borderId="98" xfId="0" applyFont="1" applyFill="1" applyBorder="1" applyAlignment="1" applyProtection="1">
      <alignment horizontal="center" vertical="center"/>
    </xf>
    <xf numFmtId="0" fontId="13" fillId="4" borderId="92"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04" xfId="0" applyFont="1" applyFill="1" applyBorder="1" applyAlignment="1" applyProtection="1">
      <alignment horizontal="right" vertical="center"/>
      <protection locked="0"/>
    </xf>
    <xf numFmtId="0" fontId="13" fillId="2" borderId="143" xfId="0" applyFont="1" applyFill="1" applyBorder="1" applyAlignment="1" applyProtection="1">
      <alignment horizontal="center" vertical="center"/>
      <protection locked="0"/>
    </xf>
    <xf numFmtId="0" fontId="13" fillId="2" borderId="144" xfId="0" applyFont="1" applyFill="1" applyBorder="1" applyAlignment="1" applyProtection="1">
      <alignment horizontal="center" vertical="center"/>
      <protection locked="0"/>
    </xf>
    <xf numFmtId="0" fontId="13" fillId="0" borderId="26" xfId="0" applyFont="1" applyFill="1" applyBorder="1" applyAlignment="1" applyProtection="1">
      <alignment horizontal="left" vertical="center"/>
    </xf>
    <xf numFmtId="0" fontId="13" fillId="0" borderId="27" xfId="0" applyFont="1" applyFill="1" applyBorder="1" applyAlignment="1" applyProtection="1">
      <alignment horizontal="left" vertical="center"/>
    </xf>
    <xf numFmtId="0" fontId="13" fillId="0" borderId="28" xfId="0" applyFont="1" applyFill="1" applyBorder="1" applyAlignment="1" applyProtection="1">
      <alignment horizontal="left" vertical="center"/>
    </xf>
    <xf numFmtId="0" fontId="13" fillId="4" borderId="12"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0" fontId="13" fillId="4" borderId="2" xfId="0" applyFont="1" applyFill="1" applyBorder="1" applyAlignment="1" applyProtection="1">
      <alignment horizontal="center" vertical="center" wrapText="1"/>
    </xf>
    <xf numFmtId="0" fontId="13" fillId="4" borderId="7" xfId="0" applyFont="1" applyFill="1" applyBorder="1" applyAlignment="1" applyProtection="1">
      <alignment horizontal="center" vertical="center" wrapText="1"/>
    </xf>
    <xf numFmtId="0" fontId="13" fillId="4" borderId="8" xfId="0" applyFont="1" applyFill="1" applyBorder="1" applyAlignment="1" applyProtection="1">
      <alignment horizontal="center" vertical="center" wrapText="1"/>
    </xf>
    <xf numFmtId="0" fontId="13" fillId="4" borderId="13" xfId="0" applyFont="1" applyFill="1" applyBorder="1" applyAlignment="1" applyProtection="1">
      <alignment horizontal="center" vertical="center" wrapText="1"/>
    </xf>
    <xf numFmtId="38" fontId="13" fillId="0" borderId="0" xfId="1" applyFont="1" applyFill="1" applyBorder="1" applyAlignment="1" applyProtection="1">
      <alignment horizontal="right" vertical="center"/>
    </xf>
    <xf numFmtId="0" fontId="13" fillId="19" borderId="7" xfId="0" applyFont="1" applyFill="1" applyBorder="1" applyAlignment="1" applyProtection="1">
      <alignment horizontal="left" vertical="center"/>
    </xf>
    <xf numFmtId="0" fontId="13" fillId="19" borderId="8" xfId="0" applyFont="1" applyFill="1" applyBorder="1" applyAlignment="1" applyProtection="1">
      <alignment horizontal="left" vertical="center"/>
    </xf>
    <xf numFmtId="0" fontId="13" fillId="19" borderId="13" xfId="0" applyFont="1" applyFill="1" applyBorder="1" applyAlignment="1" applyProtection="1">
      <alignment horizontal="left" vertical="center"/>
    </xf>
    <xf numFmtId="0" fontId="13" fillId="19" borderId="7" xfId="0" applyFont="1" applyFill="1" applyBorder="1" applyAlignment="1" applyProtection="1">
      <alignment horizontal="right" vertical="center"/>
      <protection locked="0"/>
    </xf>
    <xf numFmtId="0" fontId="13" fillId="19" borderId="8" xfId="0" applyFont="1" applyFill="1" applyBorder="1" applyAlignment="1" applyProtection="1">
      <alignment horizontal="right" vertical="center"/>
      <protection locked="0"/>
    </xf>
    <xf numFmtId="38" fontId="13" fillId="3" borderId="101" xfId="0" applyNumberFormat="1" applyFont="1" applyFill="1" applyBorder="1" applyAlignment="1" applyProtection="1">
      <alignment horizontal="right" vertical="center"/>
    </xf>
    <xf numFmtId="0" fontId="13" fillId="3" borderId="102" xfId="0" applyFont="1" applyFill="1" applyBorder="1" applyAlignment="1" applyProtection="1">
      <alignment horizontal="right" vertical="center"/>
    </xf>
    <xf numFmtId="0" fontId="13" fillId="3" borderId="103" xfId="0" applyFont="1" applyFill="1" applyBorder="1" applyAlignment="1" applyProtection="1">
      <alignment horizontal="right" vertical="center"/>
    </xf>
    <xf numFmtId="38" fontId="13" fillId="3" borderId="113" xfId="0" applyNumberFormat="1" applyFont="1" applyFill="1" applyBorder="1" applyAlignment="1" applyProtection="1">
      <alignment horizontal="right" vertical="center"/>
    </xf>
    <xf numFmtId="0" fontId="13" fillId="3" borderId="114" xfId="0" applyFont="1" applyFill="1" applyBorder="1" applyAlignment="1" applyProtection="1">
      <alignment horizontal="right" vertical="center"/>
    </xf>
    <xf numFmtId="0" fontId="13" fillId="3" borderId="140" xfId="0" applyFont="1" applyFill="1" applyBorder="1" applyAlignment="1" applyProtection="1">
      <alignment horizontal="right" vertical="center"/>
    </xf>
    <xf numFmtId="0" fontId="13" fillId="17" borderId="14" xfId="0" applyFont="1" applyFill="1" applyBorder="1" applyAlignment="1" applyProtection="1">
      <alignment horizontal="center" vertical="center"/>
    </xf>
    <xf numFmtId="0" fontId="13" fillId="17" borderId="15" xfId="0" applyFont="1" applyFill="1" applyBorder="1" applyAlignment="1" applyProtection="1">
      <alignment horizontal="center" vertical="center"/>
    </xf>
    <xf numFmtId="0" fontId="13" fillId="17" borderId="3" xfId="0" applyFont="1" applyFill="1" applyBorder="1" applyAlignment="1" applyProtection="1">
      <alignment horizontal="center" vertical="center"/>
    </xf>
    <xf numFmtId="38" fontId="13" fillId="17" borderId="26" xfId="1" applyFont="1" applyFill="1" applyBorder="1" applyAlignment="1" applyProtection="1">
      <alignment horizontal="right" vertical="center"/>
    </xf>
    <xf numFmtId="38" fontId="13" fillId="17" borderId="27" xfId="1" applyFont="1" applyFill="1" applyBorder="1" applyAlignment="1" applyProtection="1">
      <alignment horizontal="right" vertical="center"/>
    </xf>
    <xf numFmtId="38" fontId="13" fillId="17" borderId="28" xfId="1" applyFont="1" applyFill="1" applyBorder="1" applyAlignment="1" applyProtection="1">
      <alignment horizontal="right" vertical="center"/>
    </xf>
    <xf numFmtId="0" fontId="13" fillId="17" borderId="33" xfId="0" applyFont="1" applyFill="1" applyBorder="1" applyAlignment="1" applyProtection="1">
      <alignment horizontal="center" vertical="center"/>
    </xf>
    <xf numFmtId="38" fontId="13" fillId="17" borderId="29" xfId="1" applyFont="1" applyFill="1" applyBorder="1" applyAlignment="1" applyProtection="1">
      <alignment horizontal="right" vertical="center"/>
    </xf>
    <xf numFmtId="38" fontId="13" fillId="17" borderId="31" xfId="1" applyFont="1" applyFill="1" applyBorder="1" applyAlignment="1" applyProtection="1">
      <alignment horizontal="right" vertical="center"/>
    </xf>
    <xf numFmtId="38" fontId="13" fillId="17" borderId="30" xfId="1" applyFont="1" applyFill="1" applyBorder="1" applyAlignment="1" applyProtection="1">
      <alignment horizontal="right" vertical="center"/>
    </xf>
    <xf numFmtId="38" fontId="13" fillId="2" borderId="113" xfId="1" applyFont="1" applyFill="1" applyBorder="1" applyAlignment="1" applyProtection="1">
      <alignment horizontal="center" vertical="center"/>
      <protection locked="0"/>
    </xf>
    <xf numFmtId="38" fontId="13" fillId="2" borderId="114" xfId="1" applyFont="1" applyFill="1" applyBorder="1" applyAlignment="1" applyProtection="1">
      <alignment horizontal="center" vertical="center"/>
      <protection locked="0"/>
    </xf>
    <xf numFmtId="38" fontId="13" fillId="2" borderId="140" xfId="1" applyFont="1" applyFill="1" applyBorder="1" applyAlignment="1" applyProtection="1">
      <alignment horizontal="center" vertical="center"/>
      <protection locked="0"/>
    </xf>
    <xf numFmtId="38" fontId="13" fillId="2" borderId="32" xfId="1" applyFont="1" applyFill="1" applyBorder="1" applyAlignment="1" applyProtection="1">
      <alignment horizontal="center" vertical="center"/>
      <protection locked="0"/>
    </xf>
    <xf numFmtId="38" fontId="13" fillId="2" borderId="33" xfId="1" applyFont="1" applyFill="1" applyBorder="1" applyAlignment="1" applyProtection="1">
      <alignment horizontal="center" vertical="center"/>
      <protection locked="0"/>
    </xf>
    <xf numFmtId="38" fontId="13" fillId="2" borderId="34" xfId="1" applyFont="1" applyFill="1" applyBorder="1" applyAlignment="1" applyProtection="1">
      <alignment horizontal="center" vertical="center"/>
      <protection locked="0"/>
    </xf>
    <xf numFmtId="0" fontId="13" fillId="8" borderId="92" xfId="0" applyFont="1" applyFill="1" applyBorder="1" applyAlignment="1" applyProtection="1">
      <alignment horizontal="center" vertical="center"/>
    </xf>
    <xf numFmtId="0" fontId="13" fillId="8" borderId="4" xfId="0" applyFont="1" applyFill="1" applyBorder="1" applyAlignment="1" applyProtection="1">
      <alignment horizontal="center" vertical="center"/>
    </xf>
    <xf numFmtId="0" fontId="13" fillId="2" borderId="32" xfId="0" applyFont="1" applyFill="1" applyBorder="1" applyAlignment="1" applyProtection="1">
      <alignment horizontal="right" vertical="center"/>
    </xf>
    <xf numFmtId="0" fontId="13" fillId="2" borderId="33" xfId="0" applyFont="1" applyFill="1" applyBorder="1" applyAlignment="1" applyProtection="1">
      <alignment horizontal="right" vertical="center"/>
    </xf>
    <xf numFmtId="0" fontId="13" fillId="0" borderId="103" xfId="0" applyFont="1" applyFill="1" applyBorder="1" applyAlignment="1" applyProtection="1">
      <alignment horizontal="center" vertical="center"/>
    </xf>
    <xf numFmtId="0" fontId="13" fillId="0" borderId="99" xfId="0" applyFont="1" applyFill="1" applyBorder="1" applyAlignment="1" applyProtection="1">
      <alignment horizontal="center" vertical="center"/>
    </xf>
    <xf numFmtId="0" fontId="13" fillId="0" borderId="85" xfId="0" applyFont="1" applyFill="1" applyBorder="1" applyAlignment="1" applyProtection="1">
      <alignment horizontal="center" vertical="center"/>
    </xf>
    <xf numFmtId="0" fontId="13" fillId="0" borderId="51" xfId="0" applyFont="1" applyFill="1" applyBorder="1" applyAlignment="1" applyProtection="1">
      <alignment horizontal="center" vertical="center"/>
    </xf>
    <xf numFmtId="0" fontId="15" fillId="5" borderId="4" xfId="0" applyFont="1" applyFill="1" applyBorder="1" applyAlignment="1" applyProtection="1">
      <alignment horizontal="left" vertical="center" shrinkToFit="1"/>
    </xf>
    <xf numFmtId="38" fontId="13" fillId="2" borderId="29" xfId="1" applyFont="1" applyFill="1" applyBorder="1" applyAlignment="1" applyProtection="1">
      <alignment horizontal="center" vertical="center"/>
      <protection locked="0"/>
    </xf>
    <xf numFmtId="38" fontId="13" fillId="2" borderId="30" xfId="1" applyFont="1" applyFill="1" applyBorder="1" applyAlignment="1" applyProtection="1">
      <alignment horizontal="center" vertical="center"/>
      <protection locked="0"/>
    </xf>
    <xf numFmtId="38" fontId="13" fillId="2" borderId="31" xfId="1" applyFont="1" applyFill="1" applyBorder="1" applyAlignment="1" applyProtection="1">
      <alignment horizontal="center" vertical="center"/>
      <protection locked="0"/>
    </xf>
    <xf numFmtId="0" fontId="13" fillId="4" borderId="35" xfId="0" applyFont="1" applyFill="1" applyBorder="1" applyAlignment="1" applyProtection="1">
      <alignment horizontal="center" vertical="center"/>
    </xf>
    <xf numFmtId="38" fontId="13" fillId="2" borderId="14" xfId="1" applyFont="1" applyFill="1" applyBorder="1" applyAlignment="1" applyProtection="1">
      <alignment horizontal="right" vertical="center"/>
      <protection locked="0"/>
    </xf>
    <xf numFmtId="38" fontId="13" fillId="2" borderId="15" xfId="1" applyFont="1" applyFill="1" applyBorder="1" applyAlignment="1" applyProtection="1">
      <alignment horizontal="right" vertical="center"/>
      <protection locked="0"/>
    </xf>
    <xf numFmtId="0" fontId="22" fillId="0" borderId="21" xfId="0" applyFont="1" applyFill="1" applyBorder="1" applyAlignment="1" applyProtection="1">
      <alignment horizontal="center" vertical="center" shrinkToFit="1"/>
    </xf>
    <xf numFmtId="0" fontId="22" fillId="0" borderId="3" xfId="0" applyFont="1" applyFill="1" applyBorder="1" applyAlignment="1" applyProtection="1">
      <alignment horizontal="center" vertical="center" shrinkToFit="1"/>
    </xf>
    <xf numFmtId="0" fontId="22" fillId="0" borderId="4" xfId="0" applyFont="1" applyFill="1" applyBorder="1" applyAlignment="1" applyProtection="1">
      <alignment horizontal="center" vertical="center" shrinkToFit="1"/>
    </xf>
    <xf numFmtId="0" fontId="13" fillId="4" borderId="56" xfId="0" applyFont="1" applyFill="1" applyBorder="1" applyAlignment="1" applyProtection="1">
      <alignment horizontal="center" vertical="center"/>
    </xf>
    <xf numFmtId="0" fontId="13" fillId="4" borderId="57" xfId="0" applyFont="1" applyFill="1" applyBorder="1" applyAlignment="1" applyProtection="1">
      <alignment horizontal="center" vertical="center"/>
    </xf>
    <xf numFmtId="0" fontId="13" fillId="4" borderId="78" xfId="0" applyFont="1" applyFill="1" applyBorder="1" applyAlignment="1" applyProtection="1">
      <alignment horizontal="center" vertical="center"/>
    </xf>
    <xf numFmtId="38" fontId="13" fillId="0" borderId="66" xfId="1" applyFont="1" applyFill="1" applyBorder="1" applyAlignment="1" applyProtection="1">
      <alignment horizontal="left" vertical="center" indent="2" shrinkToFit="1"/>
    </xf>
    <xf numFmtId="38" fontId="13" fillId="0" borderId="15" xfId="1" applyFont="1" applyFill="1" applyBorder="1" applyAlignment="1" applyProtection="1">
      <alignment horizontal="left" vertical="center" indent="2" shrinkToFit="1"/>
    </xf>
    <xf numFmtId="38" fontId="13" fillId="0" borderId="3" xfId="1" applyFont="1" applyFill="1" applyBorder="1" applyAlignment="1" applyProtection="1">
      <alignment horizontal="left" vertical="center" indent="2" shrinkToFit="1"/>
    </xf>
    <xf numFmtId="0" fontId="13" fillId="0" borderId="14" xfId="0" applyFont="1" applyFill="1" applyBorder="1" applyAlignment="1" applyProtection="1">
      <alignment horizontal="left" vertical="center" shrinkToFit="1"/>
    </xf>
    <xf numFmtId="0" fontId="13" fillId="0" borderId="3" xfId="0" applyFont="1" applyFill="1" applyBorder="1" applyAlignment="1" applyProtection="1">
      <alignment horizontal="left" vertical="center" shrinkToFit="1"/>
    </xf>
    <xf numFmtId="0" fontId="13" fillId="3" borderId="14" xfId="0" applyFont="1" applyFill="1" applyBorder="1" applyAlignment="1" applyProtection="1">
      <alignment horizontal="left" vertical="center" shrinkToFit="1"/>
    </xf>
    <xf numFmtId="0" fontId="13" fillId="3" borderId="3" xfId="0" applyFont="1" applyFill="1" applyBorder="1" applyAlignment="1" applyProtection="1">
      <alignment horizontal="left" vertical="center" shrinkToFit="1"/>
    </xf>
    <xf numFmtId="0" fontId="13" fillId="0" borderId="14" xfId="0" applyFont="1" applyFill="1" applyBorder="1" applyAlignment="1" applyProtection="1">
      <alignment horizontal="center" vertical="center" shrinkToFit="1"/>
    </xf>
    <xf numFmtId="0" fontId="13" fillId="0" borderId="3" xfId="0" applyFont="1" applyFill="1" applyBorder="1" applyAlignment="1" applyProtection="1">
      <alignment horizontal="center" vertical="center" shrinkToFit="1"/>
    </xf>
    <xf numFmtId="0" fontId="13" fillId="2" borderId="14" xfId="0" applyFont="1" applyFill="1" applyBorder="1" applyAlignment="1" applyProtection="1">
      <alignment horizontal="left" vertical="center"/>
    </xf>
    <xf numFmtId="0" fontId="13" fillId="2" borderId="15" xfId="0" applyFont="1" applyFill="1" applyBorder="1" applyAlignment="1" applyProtection="1">
      <alignment horizontal="left" vertical="center"/>
    </xf>
    <xf numFmtId="0" fontId="13" fillId="2" borderId="3" xfId="0" applyFont="1" applyFill="1" applyBorder="1" applyAlignment="1" applyProtection="1">
      <alignment horizontal="left" vertical="center"/>
    </xf>
    <xf numFmtId="0" fontId="13" fillId="0" borderId="25"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3" borderId="168" xfId="9" applyFont="1" applyFill="1" applyBorder="1" applyAlignment="1" applyProtection="1">
      <alignment horizontal="center" vertical="center"/>
    </xf>
    <xf numFmtId="0" fontId="13" fillId="3" borderId="169" xfId="9" applyFont="1" applyFill="1" applyBorder="1" applyAlignment="1" applyProtection="1">
      <alignment horizontal="center" vertical="center"/>
    </xf>
    <xf numFmtId="0" fontId="13" fillId="3" borderId="170" xfId="9" applyFont="1" applyFill="1" applyBorder="1" applyAlignment="1" applyProtection="1">
      <alignment horizontal="center" vertical="center"/>
    </xf>
    <xf numFmtId="0" fontId="13" fillId="3" borderId="171" xfId="9" applyFont="1" applyFill="1" applyBorder="1" applyAlignment="1" applyProtection="1">
      <alignment horizontal="center" vertical="center"/>
    </xf>
    <xf numFmtId="0" fontId="13" fillId="3" borderId="172" xfId="9" applyFont="1" applyFill="1" applyBorder="1" applyAlignment="1" applyProtection="1">
      <alignment horizontal="center" vertical="center"/>
    </xf>
    <xf numFmtId="0" fontId="13" fillId="3" borderId="173" xfId="9" applyFont="1" applyFill="1" applyBorder="1" applyAlignment="1" applyProtection="1">
      <alignment horizontal="center" vertical="center"/>
    </xf>
    <xf numFmtId="0" fontId="15" fillId="3" borderId="24" xfId="0" applyFont="1" applyFill="1" applyBorder="1" applyAlignment="1" applyProtection="1">
      <alignment horizontal="center" vertical="center" textRotation="255" wrapText="1"/>
    </xf>
    <xf numFmtId="0" fontId="15" fillId="3" borderId="22" xfId="0" applyFont="1" applyFill="1" applyBorder="1" applyAlignment="1" applyProtection="1">
      <alignment horizontal="center" vertical="center" textRotation="255"/>
    </xf>
    <xf numFmtId="0" fontId="15" fillId="3" borderId="23" xfId="0" applyFont="1" applyFill="1" applyBorder="1" applyAlignment="1" applyProtection="1">
      <alignment horizontal="center" vertical="center" textRotation="255"/>
    </xf>
    <xf numFmtId="0" fontId="13" fillId="0" borderId="8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wrapText="1" shrinkToFit="1"/>
    </xf>
    <xf numFmtId="0" fontId="13" fillId="17" borderId="14" xfId="0" applyFont="1" applyFill="1" applyBorder="1" applyAlignment="1" applyProtection="1">
      <alignment horizontal="center" vertical="center" wrapText="1" shrinkToFit="1"/>
    </xf>
    <xf numFmtId="0" fontId="13" fillId="17" borderId="15" xfId="0" applyFont="1" applyFill="1" applyBorder="1" applyAlignment="1" applyProtection="1">
      <alignment horizontal="center" vertical="center" wrapText="1" shrinkToFit="1"/>
    </xf>
    <xf numFmtId="0" fontId="13" fillId="17" borderId="3" xfId="0" applyFont="1" applyFill="1" applyBorder="1" applyAlignment="1" applyProtection="1">
      <alignment horizontal="center" vertical="center" wrapText="1" shrinkToFit="1"/>
    </xf>
    <xf numFmtId="0" fontId="13" fillId="2" borderId="42" xfId="0" applyFont="1" applyFill="1" applyBorder="1" applyAlignment="1" applyProtection="1">
      <alignment horizontal="center" vertical="center"/>
    </xf>
    <xf numFmtId="0" fontId="13" fillId="2" borderId="43" xfId="0" applyFont="1" applyFill="1" applyBorder="1" applyAlignment="1" applyProtection="1">
      <alignment horizontal="center" vertical="center"/>
    </xf>
    <xf numFmtId="0" fontId="13" fillId="2" borderId="44" xfId="0" applyFont="1" applyFill="1" applyBorder="1" applyAlignment="1" applyProtection="1">
      <alignment horizontal="center" vertical="center"/>
    </xf>
    <xf numFmtId="38" fontId="13" fillId="2" borderId="101" xfId="1" applyFont="1" applyFill="1" applyBorder="1" applyAlignment="1" applyProtection="1">
      <alignment horizontal="center" vertical="center"/>
      <protection locked="0"/>
    </xf>
    <xf numFmtId="38" fontId="13" fillId="2" borderId="102" xfId="1" applyFont="1" applyFill="1" applyBorder="1" applyAlignment="1" applyProtection="1">
      <alignment horizontal="center" vertical="center"/>
      <protection locked="0"/>
    </xf>
    <xf numFmtId="38" fontId="13" fillId="2" borderId="103" xfId="1" applyFont="1" applyFill="1" applyBorder="1" applyAlignment="1" applyProtection="1">
      <alignment horizontal="center" vertical="center"/>
      <protection locked="0"/>
    </xf>
    <xf numFmtId="0" fontId="13" fillId="2" borderId="39" xfId="0" applyFont="1" applyFill="1" applyBorder="1" applyAlignment="1" applyProtection="1">
      <alignment horizontal="center" vertical="center"/>
    </xf>
    <xf numFmtId="0" fontId="13" fillId="2" borderId="40" xfId="0" applyFont="1" applyFill="1" applyBorder="1" applyAlignment="1" applyProtection="1">
      <alignment horizontal="center" vertical="center"/>
    </xf>
    <xf numFmtId="0" fontId="13" fillId="2" borderId="41" xfId="0" applyFont="1" applyFill="1" applyBorder="1" applyAlignment="1" applyProtection="1">
      <alignment horizontal="center" vertical="center"/>
    </xf>
    <xf numFmtId="0" fontId="13" fillId="4" borderId="79" xfId="0" applyFont="1" applyFill="1" applyBorder="1" applyAlignment="1" applyProtection="1">
      <alignment horizontal="center" vertical="center"/>
    </xf>
    <xf numFmtId="38" fontId="13" fillId="0" borderId="181" xfId="6" applyFont="1" applyBorder="1" applyAlignment="1" applyProtection="1">
      <alignment horizontal="right" vertical="center" shrinkToFit="1"/>
      <protection hidden="1"/>
    </xf>
    <xf numFmtId="181" fontId="32" fillId="8" borderId="26" xfId="9" applyNumberFormat="1" applyFont="1" applyFill="1" applyBorder="1" applyAlignment="1" applyProtection="1">
      <alignment horizontal="left" vertical="center"/>
    </xf>
    <xf numFmtId="181" fontId="32" fillId="8" borderId="27" xfId="9" applyNumberFormat="1" applyFont="1" applyFill="1" applyBorder="1" applyAlignment="1" applyProtection="1">
      <alignment horizontal="left" vertical="center"/>
    </xf>
    <xf numFmtId="0" fontId="32" fillId="4" borderId="131" xfId="9" applyFont="1" applyFill="1" applyBorder="1" applyAlignment="1" applyProtection="1">
      <alignment horizontal="center" vertical="center" shrinkToFit="1"/>
    </xf>
    <xf numFmtId="0" fontId="32" fillId="4" borderId="46" xfId="9" applyFont="1" applyFill="1" applyBorder="1" applyAlignment="1" applyProtection="1">
      <alignment horizontal="center" vertical="center" shrinkToFit="1"/>
    </xf>
    <xf numFmtId="0" fontId="32" fillId="4" borderId="159" xfId="9" applyFont="1" applyFill="1" applyBorder="1" applyAlignment="1" applyProtection="1">
      <alignment horizontal="center" vertical="center" shrinkToFit="1"/>
    </xf>
    <xf numFmtId="38" fontId="13" fillId="0" borderId="6" xfId="6" applyFont="1" applyBorder="1" applyAlignment="1" applyProtection="1">
      <alignment horizontal="right" vertical="center"/>
      <protection hidden="1"/>
    </xf>
    <xf numFmtId="181" fontId="32" fillId="8" borderId="98" xfId="9" applyNumberFormat="1" applyFont="1" applyFill="1" applyBorder="1" applyAlignment="1" applyProtection="1">
      <alignment horizontal="left" vertical="center" indent="2"/>
    </xf>
    <xf numFmtId="38" fontId="13" fillId="0" borderId="98" xfId="6" applyFont="1" applyBorder="1" applyAlignment="1" applyProtection="1">
      <alignment horizontal="right" vertical="center"/>
      <protection hidden="1"/>
    </xf>
    <xf numFmtId="38" fontId="13" fillId="0" borderId="4" xfId="6" applyFont="1" applyBorder="1" applyAlignment="1" applyProtection="1">
      <alignment horizontal="right" vertical="center"/>
      <protection hidden="1"/>
    </xf>
    <xf numFmtId="181" fontId="32" fillId="8" borderId="4" xfId="9" applyNumberFormat="1" applyFont="1" applyFill="1" applyBorder="1" applyAlignment="1" applyProtection="1">
      <alignment horizontal="left" vertical="center" indent="2"/>
    </xf>
    <xf numFmtId="181" fontId="32" fillId="4" borderId="6" xfId="9" applyNumberFormat="1" applyFont="1" applyFill="1" applyBorder="1" applyAlignment="1" applyProtection="1">
      <alignment horizontal="left" vertical="center" indent="1"/>
    </xf>
    <xf numFmtId="181" fontId="32" fillId="4" borderId="131" xfId="9" applyNumberFormat="1" applyFont="1" applyFill="1" applyBorder="1" applyAlignment="1" applyProtection="1">
      <alignment horizontal="left" vertical="center"/>
    </xf>
    <xf numFmtId="181" fontId="32" fillId="4" borderId="46" xfId="9" applyNumberFormat="1" applyFont="1" applyFill="1" applyBorder="1" applyAlignment="1" applyProtection="1">
      <alignment horizontal="left" vertical="center"/>
    </xf>
    <xf numFmtId="181" fontId="32" fillId="4" borderId="159" xfId="9" applyNumberFormat="1" applyFont="1" applyFill="1" applyBorder="1" applyAlignment="1" applyProtection="1">
      <alignment horizontal="left" vertical="center"/>
    </xf>
    <xf numFmtId="38" fontId="13" fillId="0" borderId="130" xfId="6" applyFont="1" applyBorder="1" applyAlignment="1" applyProtection="1">
      <alignment horizontal="right" vertical="center"/>
      <protection hidden="1"/>
    </xf>
    <xf numFmtId="181" fontId="32" fillId="8" borderId="99" xfId="9" applyNumberFormat="1" applyFont="1" applyFill="1" applyBorder="1" applyAlignment="1" applyProtection="1">
      <alignment horizontal="left" vertical="center" indent="2"/>
    </xf>
    <xf numFmtId="38" fontId="13" fillId="0" borderId="99" xfId="6" applyFont="1" applyBorder="1" applyAlignment="1" applyProtection="1">
      <alignment horizontal="right" vertical="center"/>
      <protection hidden="1"/>
    </xf>
    <xf numFmtId="0" fontId="31" fillId="4" borderId="10" xfId="9" applyFont="1" applyFill="1" applyBorder="1" applyAlignment="1" applyProtection="1">
      <alignment horizontal="center" vertical="top" textRotation="255" shrinkToFit="1"/>
    </xf>
    <xf numFmtId="0" fontId="31" fillId="4" borderId="21" xfId="9" applyFont="1" applyFill="1" applyBorder="1" applyAlignment="1" applyProtection="1">
      <alignment horizontal="center" vertical="center" textRotation="255" shrinkToFit="1"/>
    </xf>
    <xf numFmtId="0" fontId="31" fillId="4" borderId="10" xfId="9" applyFont="1" applyFill="1" applyBorder="1" applyAlignment="1" applyProtection="1">
      <alignment horizontal="center" vertical="center" textRotation="255" shrinkToFit="1"/>
    </xf>
    <xf numFmtId="0" fontId="32" fillId="0" borderId="101" xfId="9" applyFont="1" applyBorder="1" applyAlignment="1" applyProtection="1">
      <alignment horizontal="left" vertical="center" shrinkToFit="1"/>
    </xf>
    <xf numFmtId="0" fontId="32" fillId="0" borderId="102" xfId="9" applyFont="1" applyBorder="1" applyAlignment="1" applyProtection="1">
      <alignment horizontal="left" vertical="center" shrinkToFit="1"/>
    </xf>
    <xf numFmtId="0" fontId="32" fillId="0" borderId="103" xfId="9" applyFont="1" applyBorder="1" applyAlignment="1" applyProtection="1">
      <alignment horizontal="left" vertical="center" shrinkToFit="1"/>
    </xf>
    <xf numFmtId="181" fontId="32" fillId="13" borderId="26" xfId="9" applyNumberFormat="1" applyFont="1" applyFill="1" applyBorder="1" applyAlignment="1" applyProtection="1">
      <alignment horizontal="left" vertical="center"/>
    </xf>
    <xf numFmtId="181" fontId="32" fillId="13" borderId="27" xfId="9" applyNumberFormat="1" applyFont="1" applyFill="1" applyBorder="1" applyAlignment="1" applyProtection="1">
      <alignment horizontal="left" vertical="center"/>
    </xf>
    <xf numFmtId="38" fontId="13" fillId="0" borderId="26" xfId="9" applyNumberFormat="1" applyFont="1" applyBorder="1" applyAlignment="1" applyProtection="1">
      <alignment horizontal="right" vertical="center" shrinkToFit="1"/>
    </xf>
    <xf numFmtId="0" fontId="13" fillId="0" borderId="27" xfId="9" applyFont="1" applyBorder="1" applyAlignment="1" applyProtection="1">
      <alignment horizontal="right" vertical="center" shrinkToFit="1"/>
    </xf>
    <xf numFmtId="0" fontId="13" fillId="0" borderId="28" xfId="9" applyFont="1" applyBorder="1" applyAlignment="1" applyProtection="1">
      <alignment horizontal="right" vertical="center" shrinkToFit="1"/>
    </xf>
    <xf numFmtId="0" fontId="32" fillId="4" borderId="43" xfId="9" applyFont="1" applyFill="1" applyBorder="1" applyAlignment="1" applyProtection="1">
      <alignment horizontal="center" vertical="center" shrinkToFit="1"/>
    </xf>
    <xf numFmtId="0" fontId="32" fillId="4" borderId="44" xfId="9" applyFont="1" applyFill="1" applyBorder="1" applyAlignment="1" applyProtection="1">
      <alignment horizontal="center" vertical="center" shrinkToFit="1"/>
    </xf>
    <xf numFmtId="0" fontId="31" fillId="4" borderId="167" xfId="9" applyFont="1" applyFill="1" applyBorder="1" applyAlignment="1" applyProtection="1">
      <alignment horizontal="center" vertical="top" textRotation="255" shrinkToFit="1"/>
    </xf>
    <xf numFmtId="0" fontId="31" fillId="4" borderId="97" xfId="9" applyFont="1" applyFill="1" applyBorder="1" applyAlignment="1" applyProtection="1">
      <alignment horizontal="center" vertical="top" textRotation="255" shrinkToFit="1"/>
    </xf>
    <xf numFmtId="181" fontId="32" fillId="4" borderId="51" xfId="9" applyNumberFormat="1" applyFont="1" applyFill="1" applyBorder="1" applyAlignment="1" applyProtection="1">
      <alignment horizontal="left" vertical="center"/>
    </xf>
    <xf numFmtId="0" fontId="13" fillId="17" borderId="4" xfId="0" applyFont="1" applyFill="1" applyBorder="1" applyAlignment="1" applyProtection="1">
      <alignment horizontal="center" vertical="center"/>
    </xf>
    <xf numFmtId="0" fontId="15" fillId="17" borderId="14" xfId="0" applyFont="1" applyFill="1" applyBorder="1" applyAlignment="1" applyProtection="1">
      <alignment horizontal="left" vertical="center" shrinkToFit="1"/>
    </xf>
    <xf numFmtId="0" fontId="15" fillId="17" borderId="15" xfId="0" applyFont="1" applyFill="1" applyBorder="1" applyAlignment="1" applyProtection="1">
      <alignment horizontal="left" vertical="center" shrinkToFit="1"/>
    </xf>
    <xf numFmtId="0" fontId="15" fillId="17" borderId="3" xfId="0" applyFont="1" applyFill="1" applyBorder="1" applyAlignment="1" applyProtection="1">
      <alignment horizontal="left" vertical="center" shrinkToFit="1"/>
    </xf>
    <xf numFmtId="0" fontId="32" fillId="0" borderId="131" xfId="9" applyFont="1" applyBorder="1" applyAlignment="1" applyProtection="1">
      <alignment horizontal="left" vertical="center" shrinkToFit="1"/>
    </xf>
    <xf numFmtId="0" fontId="32" fillId="0" borderId="46" xfId="9" applyFont="1" applyBorder="1" applyAlignment="1" applyProtection="1">
      <alignment horizontal="left" vertical="center" shrinkToFit="1"/>
    </xf>
    <xf numFmtId="0" fontId="32" fillId="0" borderId="159" xfId="9" applyFont="1" applyBorder="1" applyAlignment="1" applyProtection="1">
      <alignment horizontal="left" vertical="center" shrinkToFit="1"/>
    </xf>
    <xf numFmtId="0" fontId="32" fillId="0" borderId="113" xfId="9" applyFont="1" applyBorder="1" applyAlignment="1" applyProtection="1">
      <alignment horizontal="left" vertical="center" shrinkToFit="1"/>
    </xf>
    <xf numFmtId="0" fontId="32" fillId="0" borderId="114" xfId="9" applyFont="1" applyBorder="1" applyAlignment="1" applyProtection="1">
      <alignment horizontal="left" vertical="center" shrinkToFit="1"/>
    </xf>
    <xf numFmtId="0" fontId="32" fillId="0" borderId="140" xfId="9" applyFont="1" applyBorder="1" applyAlignment="1" applyProtection="1">
      <alignment horizontal="left" vertical="center" shrinkToFit="1"/>
    </xf>
    <xf numFmtId="181" fontId="32" fillId="4" borderId="4" xfId="9" applyNumberFormat="1" applyFont="1" applyFill="1" applyBorder="1" applyAlignment="1" applyProtection="1">
      <alignment horizontal="left" vertical="center" indent="1"/>
    </xf>
    <xf numFmtId="38" fontId="13" fillId="0" borderId="51" xfId="6" applyFont="1" applyBorder="1" applyAlignment="1" applyProtection="1">
      <alignment horizontal="right" vertical="center"/>
      <protection hidden="1"/>
    </xf>
    <xf numFmtId="181" fontId="32" fillId="4" borderId="86" xfId="9" applyNumberFormat="1" applyFont="1" applyFill="1" applyBorder="1" applyAlignment="1" applyProtection="1">
      <alignment horizontal="center" vertical="center" shrinkToFit="1"/>
    </xf>
    <xf numFmtId="181" fontId="32" fillId="4" borderId="37" xfId="9" applyNumberFormat="1" applyFont="1" applyFill="1" applyBorder="1" applyAlignment="1" applyProtection="1">
      <alignment horizontal="center" vertical="center" shrinkToFit="1"/>
    </xf>
    <xf numFmtId="181" fontId="32" fillId="4" borderId="38" xfId="9" applyNumberFormat="1" applyFont="1" applyFill="1" applyBorder="1" applyAlignment="1" applyProtection="1">
      <alignment horizontal="center" vertical="center" shrinkToFit="1"/>
    </xf>
    <xf numFmtId="38" fontId="13" fillId="0" borderId="5" xfId="6" applyFont="1" applyBorder="1" applyAlignment="1" applyProtection="1">
      <alignment horizontal="right" vertical="center" shrinkToFit="1"/>
      <protection locked="0"/>
    </xf>
    <xf numFmtId="0" fontId="31" fillId="4" borderId="167" xfId="9" applyFont="1" applyFill="1" applyBorder="1" applyAlignment="1" applyProtection="1">
      <alignment horizontal="center" vertical="center" textRotation="255" shrinkToFit="1"/>
    </xf>
    <xf numFmtId="0" fontId="31" fillId="4" borderId="97" xfId="9" applyFont="1" applyFill="1" applyBorder="1" applyAlignment="1" applyProtection="1">
      <alignment horizontal="center" vertical="center" textRotation="255" shrinkToFit="1"/>
    </xf>
    <xf numFmtId="38" fontId="13" fillId="19" borderId="42" xfId="6" applyFont="1" applyFill="1" applyBorder="1" applyAlignment="1" applyProtection="1">
      <alignment horizontal="right" vertical="center" shrinkToFit="1"/>
      <protection hidden="1"/>
    </xf>
    <xf numFmtId="38" fontId="13" fillId="19" borderId="43" xfId="6" applyFont="1" applyFill="1" applyBorder="1" applyAlignment="1" applyProtection="1">
      <alignment horizontal="right" vertical="center" shrinkToFit="1"/>
      <protection hidden="1"/>
    </xf>
    <xf numFmtId="38" fontId="13" fillId="19" borderId="44" xfId="6" applyFont="1" applyFill="1" applyBorder="1" applyAlignment="1" applyProtection="1">
      <alignment horizontal="right" vertical="center" shrinkToFit="1"/>
      <protection hidden="1"/>
    </xf>
    <xf numFmtId="38" fontId="12" fillId="0" borderId="101" xfId="9" applyNumberFormat="1" applyFont="1" applyFill="1" applyBorder="1" applyAlignment="1" applyProtection="1">
      <alignment horizontal="right" vertical="center" shrinkToFit="1"/>
    </xf>
    <xf numFmtId="0" fontId="12" fillId="0" borderId="102" xfId="9" applyFont="1" applyFill="1" applyBorder="1" applyAlignment="1" applyProtection="1">
      <alignment horizontal="right" vertical="center" shrinkToFit="1"/>
    </xf>
    <xf numFmtId="0" fontId="12" fillId="0" borderId="103" xfId="9" applyFont="1" applyFill="1" applyBorder="1" applyAlignment="1" applyProtection="1">
      <alignment horizontal="right" vertical="center" shrinkToFit="1"/>
    </xf>
    <xf numFmtId="38" fontId="13" fillId="0" borderId="101" xfId="6" applyFont="1" applyBorder="1" applyAlignment="1" applyProtection="1">
      <alignment horizontal="right" vertical="center" shrinkToFit="1"/>
      <protection hidden="1"/>
    </xf>
    <xf numFmtId="38" fontId="13" fillId="0" borderId="102" xfId="6" applyFont="1" applyBorder="1" applyAlignment="1" applyProtection="1">
      <alignment horizontal="right" vertical="center" shrinkToFit="1"/>
      <protection hidden="1"/>
    </xf>
    <xf numFmtId="38" fontId="13" fillId="0" borderId="103" xfId="6" applyFont="1" applyBorder="1" applyAlignment="1" applyProtection="1">
      <alignment horizontal="right" vertical="center" shrinkToFit="1"/>
      <protection hidden="1"/>
    </xf>
    <xf numFmtId="181" fontId="32" fillId="4" borderId="131" xfId="9" applyNumberFormat="1" applyFont="1" applyFill="1" applyBorder="1" applyAlignment="1" applyProtection="1">
      <alignment horizontal="left" vertical="center" indent="1"/>
    </xf>
    <xf numFmtId="181" fontId="32" fillId="4" borderId="46" xfId="9" applyNumberFormat="1" applyFont="1" applyFill="1" applyBorder="1" applyAlignment="1" applyProtection="1">
      <alignment horizontal="left" vertical="center" indent="1"/>
    </xf>
    <xf numFmtId="181" fontId="32" fillId="4" borderId="159" xfId="9" applyNumberFormat="1" applyFont="1" applyFill="1" applyBorder="1" applyAlignment="1" applyProtection="1">
      <alignment horizontal="left" vertical="center" indent="1"/>
    </xf>
    <xf numFmtId="38" fontId="13" fillId="0" borderId="131" xfId="6" applyFont="1" applyBorder="1" applyAlignment="1" applyProtection="1">
      <alignment horizontal="right" vertical="center"/>
      <protection hidden="1"/>
    </xf>
    <xf numFmtId="38" fontId="13" fillId="0" borderId="46" xfId="6" applyFont="1" applyBorder="1" applyAlignment="1" applyProtection="1">
      <alignment horizontal="right" vertical="center"/>
      <protection hidden="1"/>
    </xf>
    <xf numFmtId="38" fontId="13" fillId="0" borderId="159" xfId="6" applyFont="1" applyBorder="1" applyAlignment="1" applyProtection="1">
      <alignment horizontal="right" vertical="center"/>
      <protection hidden="1"/>
    </xf>
    <xf numFmtId="181" fontId="32" fillId="8" borderId="118" xfId="9" applyNumberFormat="1" applyFont="1" applyFill="1" applyBorder="1" applyAlignment="1" applyProtection="1">
      <alignment horizontal="left" vertical="center" indent="2"/>
    </xf>
    <xf numFmtId="38" fontId="13" fillId="0" borderId="118" xfId="6" applyFont="1" applyBorder="1" applyAlignment="1" applyProtection="1">
      <alignment horizontal="right" vertical="center"/>
      <protection hidden="1"/>
    </xf>
    <xf numFmtId="0" fontId="15" fillId="5" borderId="4" xfId="9" applyFont="1" applyFill="1" applyBorder="1" applyAlignment="1" applyProtection="1">
      <alignment horizontal="left" vertical="center" shrinkToFit="1"/>
    </xf>
    <xf numFmtId="38" fontId="13" fillId="0" borderId="94" xfId="6" applyFont="1" applyBorder="1" applyAlignment="1" applyProtection="1">
      <alignment horizontal="right" vertical="center"/>
      <protection hidden="1"/>
    </xf>
    <xf numFmtId="0" fontId="13" fillId="0" borderId="0" xfId="9" applyFont="1" applyAlignment="1" applyProtection="1">
      <alignment horizontal="left" vertical="center" wrapText="1"/>
    </xf>
    <xf numFmtId="0" fontId="31" fillId="4" borderId="4" xfId="9" applyFont="1" applyFill="1" applyBorder="1" applyAlignment="1" applyProtection="1">
      <alignment horizontal="center" vertical="top" textRotation="255"/>
    </xf>
    <xf numFmtId="181" fontId="32" fillId="4" borderId="86" xfId="9" applyNumberFormat="1" applyFont="1" applyFill="1" applyBorder="1" applyAlignment="1" applyProtection="1">
      <alignment horizontal="left" vertical="center"/>
    </xf>
    <xf numFmtId="181" fontId="32" fillId="4" borderId="37" xfId="9" applyNumberFormat="1" applyFont="1" applyFill="1" applyBorder="1" applyAlignment="1" applyProtection="1">
      <alignment horizontal="left" vertical="center"/>
    </xf>
    <xf numFmtId="181" fontId="32" fillId="4" borderId="38" xfId="9" applyNumberFormat="1" applyFont="1" applyFill="1" applyBorder="1" applyAlignment="1" applyProtection="1">
      <alignment horizontal="left" vertical="center"/>
    </xf>
    <xf numFmtId="38" fontId="13" fillId="0" borderId="86" xfId="6" applyFont="1" applyBorder="1" applyAlignment="1" applyProtection="1">
      <alignment horizontal="center" vertical="center"/>
      <protection locked="0"/>
    </xf>
    <xf numFmtId="38" fontId="13" fillId="0" borderId="37" xfId="6" applyFont="1" applyBorder="1" applyAlignment="1" applyProtection="1">
      <alignment horizontal="center" vertical="center"/>
      <protection locked="0"/>
    </xf>
    <xf numFmtId="38" fontId="13" fillId="0" borderId="184" xfId="6" applyFont="1" applyBorder="1" applyAlignment="1" applyProtection="1">
      <alignment horizontal="center" vertical="center"/>
      <protection locked="0"/>
    </xf>
    <xf numFmtId="0" fontId="22" fillId="3" borderId="193" xfId="9" applyFont="1" applyFill="1" applyBorder="1" applyAlignment="1" applyProtection="1">
      <alignment horizontal="center" vertical="center" wrapText="1"/>
    </xf>
    <xf numFmtId="0" fontId="22" fillId="3" borderId="17" xfId="9" applyFont="1" applyFill="1" applyBorder="1" applyAlignment="1" applyProtection="1">
      <alignment horizontal="center" vertical="center" wrapText="1"/>
    </xf>
    <xf numFmtId="0" fontId="22" fillId="3" borderId="76" xfId="9" applyFont="1" applyFill="1" applyBorder="1" applyAlignment="1" applyProtection="1">
      <alignment horizontal="center" vertical="center" wrapText="1"/>
    </xf>
    <xf numFmtId="0" fontId="22" fillId="3" borderId="194" xfId="9" applyFont="1" applyFill="1" applyBorder="1" applyAlignment="1" applyProtection="1">
      <alignment horizontal="center" vertical="center" wrapText="1"/>
    </xf>
    <xf numFmtId="38" fontId="13" fillId="0" borderId="83" xfId="6" applyFont="1" applyFill="1" applyBorder="1" applyAlignment="1" applyProtection="1">
      <alignment horizontal="center" vertical="center" shrinkToFit="1"/>
    </xf>
    <xf numFmtId="38" fontId="13" fillId="0" borderId="84" xfId="6" applyFont="1" applyFill="1" applyBorder="1" applyAlignment="1" applyProtection="1">
      <alignment horizontal="center" vertical="center" shrinkToFit="1"/>
    </xf>
    <xf numFmtId="38" fontId="13" fillId="0" borderId="85" xfId="6" applyFont="1" applyFill="1" applyBorder="1" applyAlignment="1" applyProtection="1">
      <alignment horizontal="center" vertical="center" shrinkToFit="1"/>
    </xf>
    <xf numFmtId="38" fontId="13" fillId="0" borderId="183" xfId="6" applyFont="1" applyBorder="1" applyAlignment="1" applyProtection="1">
      <alignment horizontal="center" vertical="center" shrinkToFit="1"/>
    </xf>
    <xf numFmtId="181" fontId="32" fillId="4" borderId="14" xfId="9" applyNumberFormat="1" applyFont="1" applyFill="1" applyBorder="1" applyAlignment="1" applyProtection="1">
      <alignment horizontal="left" vertical="center"/>
    </xf>
    <xf numFmtId="181" fontId="32" fillId="4" borderId="15" xfId="9" applyNumberFormat="1" applyFont="1" applyFill="1" applyBorder="1" applyAlignment="1" applyProtection="1">
      <alignment horizontal="left" vertical="center"/>
    </xf>
    <xf numFmtId="38" fontId="13" fillId="0" borderId="14" xfId="9" applyNumberFormat="1" applyFont="1" applyBorder="1" applyAlignment="1" applyProtection="1">
      <alignment horizontal="right" vertical="center" shrinkToFit="1"/>
    </xf>
    <xf numFmtId="0" fontId="13" fillId="0" borderId="15" xfId="9" applyFont="1" applyBorder="1" applyAlignment="1" applyProtection="1">
      <alignment horizontal="right" vertical="center" shrinkToFit="1"/>
    </xf>
    <xf numFmtId="0" fontId="13" fillId="0" borderId="3" xfId="9" applyFont="1" applyBorder="1" applyAlignment="1" applyProtection="1">
      <alignment horizontal="right" vertical="center" shrinkToFit="1"/>
    </xf>
    <xf numFmtId="38" fontId="13" fillId="0" borderId="14" xfId="6" applyFont="1" applyBorder="1" applyAlignment="1" applyProtection="1">
      <alignment horizontal="right" vertical="center" shrinkToFit="1"/>
      <protection hidden="1"/>
    </xf>
    <xf numFmtId="38" fontId="13" fillId="0" borderId="15" xfId="6" applyFont="1" applyBorder="1" applyAlignment="1" applyProtection="1">
      <alignment horizontal="right" vertical="center" shrinkToFit="1"/>
      <protection hidden="1"/>
    </xf>
    <xf numFmtId="38" fontId="13" fillId="0" borderId="3" xfId="6" applyFont="1" applyBorder="1" applyAlignment="1" applyProtection="1">
      <alignment horizontal="right" vertical="center" shrinkToFit="1"/>
      <protection hidden="1"/>
    </xf>
    <xf numFmtId="38" fontId="13" fillId="0" borderId="67" xfId="6" applyFont="1" applyBorder="1" applyAlignment="1" applyProtection="1">
      <alignment horizontal="right" vertical="center" shrinkToFit="1"/>
      <protection hidden="1"/>
    </xf>
    <xf numFmtId="181" fontId="32" fillId="13" borderId="32" xfId="9" applyNumberFormat="1" applyFont="1" applyFill="1" applyBorder="1" applyAlignment="1" applyProtection="1">
      <alignment horizontal="left" vertical="center"/>
    </xf>
    <xf numFmtId="181" fontId="32" fillId="13" borderId="33" xfId="9" applyNumberFormat="1" applyFont="1" applyFill="1" applyBorder="1" applyAlignment="1" applyProtection="1">
      <alignment horizontal="left" vertical="center"/>
    </xf>
    <xf numFmtId="38" fontId="13" fillId="0" borderId="32" xfId="9" applyNumberFormat="1" applyFont="1" applyBorder="1" applyAlignment="1" applyProtection="1">
      <alignment horizontal="right" vertical="center" shrinkToFit="1"/>
    </xf>
    <xf numFmtId="0" fontId="13" fillId="0" borderId="33" xfId="9" applyFont="1" applyBorder="1" applyAlignment="1" applyProtection="1">
      <alignment horizontal="right" vertical="center" shrinkToFit="1"/>
    </xf>
    <xf numFmtId="0" fontId="13" fillId="0" borderId="34" xfId="9" applyFont="1" applyBorder="1" applyAlignment="1" applyProtection="1">
      <alignment horizontal="right" vertical="center" shrinkToFit="1"/>
    </xf>
    <xf numFmtId="10" fontId="13" fillId="3" borderId="174" xfId="8" applyNumberFormat="1" applyFont="1" applyFill="1" applyBorder="1" applyAlignment="1" applyProtection="1">
      <alignment horizontal="center" vertical="center"/>
    </xf>
    <xf numFmtId="10" fontId="13" fillId="3" borderId="53" xfId="8" applyNumberFormat="1" applyFont="1" applyFill="1" applyBorder="1" applyAlignment="1" applyProtection="1">
      <alignment horizontal="center" vertical="center"/>
    </xf>
    <xf numFmtId="10" fontId="13" fillId="3" borderId="120" xfId="8" applyNumberFormat="1" applyFont="1" applyFill="1" applyBorder="1" applyAlignment="1" applyProtection="1">
      <alignment horizontal="center" vertical="center"/>
    </xf>
    <xf numFmtId="10" fontId="13" fillId="3" borderId="154" xfId="8" applyNumberFormat="1" applyFont="1" applyFill="1" applyBorder="1" applyAlignment="1" applyProtection="1">
      <alignment horizontal="center" vertical="center"/>
    </xf>
    <xf numFmtId="38" fontId="13" fillId="0" borderId="182" xfId="6" applyFont="1" applyBorder="1" applyAlignment="1" applyProtection="1">
      <alignment horizontal="right" vertical="center" shrinkToFit="1"/>
      <protection hidden="1"/>
    </xf>
    <xf numFmtId="0" fontId="31" fillId="4" borderId="10" xfId="9" applyFont="1" applyFill="1" applyBorder="1" applyAlignment="1" applyProtection="1">
      <alignment horizontal="center" vertical="center" textRotation="255"/>
    </xf>
    <xf numFmtId="0" fontId="31" fillId="4" borderId="97" xfId="9" applyFont="1" applyFill="1" applyBorder="1" applyAlignment="1" applyProtection="1">
      <alignment horizontal="center" vertical="center" textRotation="255"/>
    </xf>
    <xf numFmtId="181" fontId="32" fillId="8" borderId="29" xfId="9" applyNumberFormat="1" applyFont="1" applyFill="1" applyBorder="1" applyAlignment="1" applyProtection="1">
      <alignment horizontal="left" vertical="center"/>
    </xf>
    <xf numFmtId="181" fontId="32" fillId="8" borderId="30" xfId="9" applyNumberFormat="1" applyFont="1" applyFill="1" applyBorder="1" applyAlignment="1" applyProtection="1">
      <alignment horizontal="left" vertical="center"/>
    </xf>
    <xf numFmtId="38" fontId="13" fillId="0" borderId="29" xfId="9" applyNumberFormat="1" applyFont="1" applyBorder="1" applyAlignment="1" applyProtection="1">
      <alignment horizontal="right" vertical="center" shrinkToFit="1"/>
    </xf>
    <xf numFmtId="0" fontId="13" fillId="0" borderId="30" xfId="9" applyFont="1" applyBorder="1" applyAlignment="1" applyProtection="1">
      <alignment horizontal="right" vertical="center" shrinkToFit="1"/>
    </xf>
    <xf numFmtId="0" fontId="13" fillId="0" borderId="31" xfId="9" applyFont="1" applyBorder="1" applyAlignment="1" applyProtection="1">
      <alignment horizontal="right" vertical="center" shrinkToFit="1"/>
    </xf>
    <xf numFmtId="0" fontId="13" fillId="17" borderId="85" xfId="0" applyFont="1" applyFill="1" applyBorder="1" applyAlignment="1" applyProtection="1">
      <alignment horizontal="center" vertical="center"/>
    </xf>
    <xf numFmtId="0" fontId="13" fillId="17" borderId="51" xfId="0" applyFont="1" applyFill="1" applyBorder="1" applyAlignment="1" applyProtection="1">
      <alignment horizontal="center" vertical="center"/>
    </xf>
    <xf numFmtId="0" fontId="13" fillId="17" borderId="21" xfId="0" applyFont="1" applyFill="1" applyBorder="1" applyAlignment="1" applyProtection="1">
      <alignment horizontal="center" vertical="center" textRotation="255"/>
    </xf>
    <xf numFmtId="0" fontId="13" fillId="17" borderId="10" xfId="0" applyFont="1" applyFill="1" applyBorder="1" applyAlignment="1" applyProtection="1">
      <alignment horizontal="center" vertical="center" textRotation="255"/>
    </xf>
    <xf numFmtId="0" fontId="13" fillId="17" borderId="6" xfId="0" applyFont="1" applyFill="1" applyBorder="1" applyAlignment="1" applyProtection="1">
      <alignment horizontal="center" vertical="center" textRotation="255"/>
    </xf>
    <xf numFmtId="0" fontId="13" fillId="2" borderId="4" xfId="0" applyFont="1" applyFill="1" applyBorder="1" applyAlignment="1" applyProtection="1">
      <alignment horizontal="center" vertical="center" wrapText="1"/>
    </xf>
    <xf numFmtId="38" fontId="13" fillId="0" borderId="6" xfId="1" applyFont="1" applyFill="1" applyBorder="1" applyAlignment="1" applyProtection="1">
      <alignment horizontal="right" vertical="center"/>
      <protection locked="0"/>
    </xf>
    <xf numFmtId="0" fontId="13" fillId="0" borderId="15" xfId="0" applyFont="1" applyFill="1" applyBorder="1" applyAlignment="1" applyProtection="1">
      <alignment horizontal="center" vertical="center" shrinkToFit="1"/>
    </xf>
    <xf numFmtId="0" fontId="13" fillId="0" borderId="13" xfId="0" applyFont="1" applyFill="1" applyBorder="1" applyAlignment="1" applyProtection="1">
      <alignment horizontal="left" vertical="center" shrinkToFit="1"/>
    </xf>
    <xf numFmtId="0" fontId="13" fillId="0" borderId="6" xfId="0" applyFont="1" applyFill="1" applyBorder="1" applyAlignment="1" applyProtection="1">
      <alignment horizontal="left" vertical="center" shrinkToFit="1"/>
    </xf>
    <xf numFmtId="0" fontId="13" fillId="3" borderId="6" xfId="0" applyFont="1" applyFill="1" applyBorder="1" applyAlignment="1" applyProtection="1">
      <alignment horizontal="center" vertical="center" shrinkToFit="1"/>
    </xf>
    <xf numFmtId="0" fontId="13" fillId="3" borderId="7" xfId="0" applyFont="1" applyFill="1" applyBorder="1" applyAlignment="1" applyProtection="1">
      <alignment horizontal="center" vertical="center" shrinkToFit="1"/>
    </xf>
    <xf numFmtId="38" fontId="13" fillId="0" borderId="72" xfId="1" applyFont="1" applyFill="1" applyBorder="1" applyAlignment="1" applyProtection="1">
      <alignment horizontal="right" vertical="center"/>
      <protection locked="0"/>
    </xf>
    <xf numFmtId="38" fontId="13" fillId="0" borderId="68" xfId="1" applyFont="1" applyFill="1" applyBorder="1" applyAlignment="1" applyProtection="1">
      <alignment horizontal="right" vertical="center"/>
      <protection locked="0"/>
    </xf>
    <xf numFmtId="38" fontId="13" fillId="0" borderId="74" xfId="1" applyFont="1" applyFill="1" applyBorder="1" applyAlignment="1" applyProtection="1">
      <alignment horizontal="right" vertical="center"/>
      <protection locked="0"/>
    </xf>
    <xf numFmtId="0" fontId="15" fillId="3" borderId="21" xfId="0" applyFont="1" applyFill="1" applyBorder="1" applyAlignment="1" applyProtection="1">
      <alignment horizontal="center" vertical="center" textRotation="255"/>
    </xf>
    <xf numFmtId="0" fontId="15" fillId="3" borderId="10" xfId="0" applyFont="1" applyFill="1" applyBorder="1" applyAlignment="1" applyProtection="1">
      <alignment horizontal="center" vertical="center" textRotation="255"/>
    </xf>
    <xf numFmtId="0" fontId="15" fillId="3" borderId="6" xfId="0" applyFont="1" applyFill="1" applyBorder="1" applyAlignment="1" applyProtection="1">
      <alignment horizontal="center" vertical="center" textRotation="255"/>
    </xf>
    <xf numFmtId="0" fontId="13" fillId="2" borderId="80" xfId="0" applyFont="1" applyFill="1" applyBorder="1" applyAlignment="1" applyProtection="1">
      <alignment horizontal="center" vertical="center"/>
    </xf>
    <xf numFmtId="0" fontId="13" fillId="4" borderId="4" xfId="0" applyFont="1" applyFill="1" applyBorder="1" applyAlignment="1" applyProtection="1">
      <alignment horizontal="center" vertical="center" shrinkToFit="1"/>
    </xf>
    <xf numFmtId="0" fontId="13" fillId="17" borderId="0" xfId="0" applyFont="1" applyFill="1" applyBorder="1" applyAlignment="1" applyProtection="1">
      <alignment horizontal="left" vertical="top" wrapText="1"/>
    </xf>
    <xf numFmtId="0" fontId="13" fillId="0" borderId="145" xfId="0" applyFont="1" applyFill="1" applyBorder="1" applyAlignment="1" applyProtection="1">
      <alignment horizontal="left" vertical="center" wrapText="1" indent="2"/>
    </xf>
    <xf numFmtId="0" fontId="13" fillId="0" borderId="112" xfId="0" applyFont="1" applyFill="1" applyBorder="1" applyAlignment="1" applyProtection="1">
      <alignment horizontal="left" vertical="center" wrapText="1" indent="2"/>
    </xf>
    <xf numFmtId="0" fontId="13" fillId="0" borderId="146" xfId="0" applyFont="1" applyFill="1" applyBorder="1" applyAlignment="1" applyProtection="1">
      <alignment horizontal="left" vertical="center" wrapText="1" indent="2"/>
    </xf>
    <xf numFmtId="0" fontId="13" fillId="0" borderId="147" xfId="0" applyFont="1" applyFill="1" applyBorder="1" applyAlignment="1" applyProtection="1">
      <alignment horizontal="left" vertical="center" wrapText="1" indent="2"/>
    </xf>
    <xf numFmtId="0" fontId="13" fillId="0" borderId="116" xfId="0" applyFont="1" applyFill="1" applyBorder="1" applyAlignment="1" applyProtection="1">
      <alignment horizontal="left" vertical="center" wrapText="1" indent="2"/>
    </xf>
    <xf numFmtId="0" fontId="13" fillId="0" borderId="148" xfId="0" applyFont="1" applyFill="1" applyBorder="1" applyAlignment="1" applyProtection="1">
      <alignment horizontal="left" vertical="center" wrapText="1" indent="2"/>
    </xf>
    <xf numFmtId="0" fontId="13" fillId="4" borderId="1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22" fillId="4" borderId="12" xfId="0" applyFont="1" applyFill="1" applyBorder="1" applyAlignment="1" applyProtection="1">
      <alignment horizontal="center" vertical="center" wrapText="1"/>
    </xf>
    <xf numFmtId="0" fontId="22" fillId="4" borderId="1" xfId="0" applyFont="1" applyFill="1" applyBorder="1" applyAlignment="1" applyProtection="1">
      <alignment horizontal="center" vertical="center"/>
    </xf>
    <xf numFmtId="0" fontId="22" fillId="4" borderId="2" xfId="0" applyFont="1" applyFill="1" applyBorder="1" applyAlignment="1" applyProtection="1">
      <alignment horizontal="center" vertical="center"/>
    </xf>
    <xf numFmtId="0" fontId="13" fillId="4" borderId="12" xfId="0" applyFont="1" applyFill="1" applyBorder="1" applyAlignment="1" applyProtection="1">
      <alignment horizontal="center" vertical="center"/>
    </xf>
    <xf numFmtId="0" fontId="13" fillId="4" borderId="1" xfId="0"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38" fontId="13" fillId="2" borderId="4" xfId="1" applyFont="1" applyFill="1" applyBorder="1" applyAlignment="1" applyProtection="1">
      <alignment horizontal="center" vertical="center"/>
    </xf>
    <xf numFmtId="38" fontId="13" fillId="2" borderId="15" xfId="1"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xf>
    <xf numFmtId="0" fontId="13" fillId="3" borderId="14" xfId="0" applyFont="1" applyFill="1" applyBorder="1" applyAlignment="1" applyProtection="1">
      <alignment horizontal="center" vertical="center" shrinkToFit="1"/>
    </xf>
    <xf numFmtId="0" fontId="13" fillId="3" borderId="67" xfId="0" applyFont="1" applyFill="1" applyBorder="1" applyAlignment="1" applyProtection="1">
      <alignment horizontal="center" vertical="center" shrinkToFit="1"/>
    </xf>
    <xf numFmtId="0" fontId="13" fillId="3" borderId="64" xfId="0" applyFont="1" applyFill="1" applyBorder="1" applyAlignment="1" applyProtection="1">
      <alignment horizontal="left" vertical="center" shrinkToFit="1"/>
    </xf>
    <xf numFmtId="0" fontId="13" fillId="3" borderId="65" xfId="0" applyFont="1" applyFill="1" applyBorder="1" applyAlignment="1" applyProtection="1">
      <alignment horizontal="left" vertical="center" shrinkToFit="1"/>
    </xf>
    <xf numFmtId="0" fontId="22" fillId="3" borderId="188" xfId="0" applyFont="1" applyFill="1" applyBorder="1" applyAlignment="1" applyProtection="1">
      <alignment horizontal="center" vertical="center" wrapText="1"/>
    </xf>
    <xf numFmtId="0" fontId="22" fillId="3" borderId="189" xfId="0" applyFont="1" applyFill="1" applyBorder="1" applyAlignment="1" applyProtection="1">
      <alignment horizontal="center" vertical="center"/>
    </xf>
    <xf numFmtId="0" fontId="22" fillId="3" borderId="190" xfId="0" applyFont="1" applyFill="1" applyBorder="1" applyAlignment="1" applyProtection="1">
      <alignment horizontal="center" vertical="center"/>
    </xf>
    <xf numFmtId="0" fontId="13" fillId="2" borderId="14" xfId="0" applyFont="1" applyFill="1" applyBorder="1" applyAlignment="1" applyProtection="1">
      <alignment horizontal="left" vertical="center" wrapText="1"/>
    </xf>
    <xf numFmtId="0" fontId="13" fillId="2" borderId="15" xfId="0" applyFont="1" applyFill="1" applyBorder="1" applyAlignment="1" applyProtection="1">
      <alignment horizontal="left" vertical="center" wrapText="1"/>
    </xf>
    <xf numFmtId="0" fontId="13" fillId="2" borderId="3" xfId="0" applyFont="1" applyFill="1" applyBorder="1" applyAlignment="1" applyProtection="1">
      <alignment horizontal="left" vertical="center" wrapText="1"/>
    </xf>
    <xf numFmtId="38" fontId="13" fillId="17" borderId="29" xfId="0" applyNumberFormat="1" applyFont="1" applyFill="1" applyBorder="1" applyAlignment="1" applyProtection="1">
      <alignment horizontal="right" vertical="center"/>
    </xf>
    <xf numFmtId="0" fontId="13" fillId="17" borderId="30" xfId="0" applyFont="1" applyFill="1" applyBorder="1" applyAlignment="1" applyProtection="1">
      <alignment horizontal="right" vertical="center"/>
    </xf>
    <xf numFmtId="0" fontId="13" fillId="17" borderId="31" xfId="0" applyFont="1" applyFill="1" applyBorder="1" applyAlignment="1" applyProtection="1">
      <alignment horizontal="right" vertical="center"/>
    </xf>
    <xf numFmtId="38" fontId="13" fillId="17" borderId="26" xfId="0" applyNumberFormat="1" applyFont="1" applyFill="1" applyBorder="1" applyAlignment="1" applyProtection="1">
      <alignment horizontal="right" vertical="center"/>
    </xf>
    <xf numFmtId="0" fontId="13" fillId="17" borderId="27" xfId="0" applyFont="1" applyFill="1" applyBorder="1" applyAlignment="1" applyProtection="1">
      <alignment horizontal="right" vertical="center"/>
    </xf>
    <xf numFmtId="0" fontId="13" fillId="17" borderId="28" xfId="0" applyFont="1" applyFill="1" applyBorder="1" applyAlignment="1" applyProtection="1">
      <alignment horizontal="right" vertical="center"/>
    </xf>
    <xf numFmtId="0" fontId="15" fillId="5" borderId="45" xfId="0" applyFont="1" applyFill="1" applyBorder="1" applyAlignment="1" applyProtection="1">
      <alignment horizontal="left" vertical="center" shrinkToFit="1"/>
    </xf>
    <xf numFmtId="0" fontId="15" fillId="5" borderId="46" xfId="0" applyFont="1" applyFill="1" applyBorder="1" applyAlignment="1" applyProtection="1">
      <alignment horizontal="left" vertical="center" shrinkToFit="1"/>
    </xf>
    <xf numFmtId="0" fontId="15" fillId="5" borderId="47" xfId="0" applyFont="1" applyFill="1" applyBorder="1" applyAlignment="1" applyProtection="1">
      <alignment horizontal="left" vertical="center" shrinkToFit="1"/>
    </xf>
    <xf numFmtId="0" fontId="15" fillId="17" borderId="4" xfId="0" applyFont="1" applyFill="1" applyBorder="1" applyAlignment="1" applyProtection="1">
      <alignment horizontal="left" vertical="center" shrinkToFit="1"/>
    </xf>
    <xf numFmtId="38" fontId="13" fillId="17" borderId="32" xfId="0" applyNumberFormat="1" applyFont="1" applyFill="1" applyBorder="1" applyAlignment="1" applyProtection="1">
      <alignment horizontal="right" vertical="center"/>
    </xf>
    <xf numFmtId="0" fontId="13" fillId="17" borderId="33" xfId="0" applyFont="1" applyFill="1" applyBorder="1" applyAlignment="1" applyProtection="1">
      <alignment horizontal="right" vertical="center"/>
    </xf>
    <xf numFmtId="0" fontId="13" fillId="17" borderId="34" xfId="0" applyFont="1" applyFill="1" applyBorder="1" applyAlignment="1" applyProtection="1">
      <alignment horizontal="right" vertical="center"/>
    </xf>
    <xf numFmtId="0" fontId="13" fillId="17" borderId="92" xfId="0" applyFont="1" applyFill="1" applyBorder="1" applyAlignment="1" applyProtection="1">
      <alignment horizontal="center" vertical="center"/>
    </xf>
    <xf numFmtId="0" fontId="13" fillId="17" borderId="98" xfId="0" applyFont="1" applyFill="1" applyBorder="1" applyAlignment="1" applyProtection="1">
      <alignment horizontal="center" vertical="center"/>
    </xf>
    <xf numFmtId="0" fontId="13" fillId="17" borderId="63" xfId="0" applyFont="1" applyFill="1" applyBorder="1" applyAlignment="1" applyProtection="1">
      <alignment horizontal="center" vertical="center"/>
    </xf>
    <xf numFmtId="0" fontId="13" fillId="17" borderId="103" xfId="0" applyFont="1" applyFill="1" applyBorder="1" applyAlignment="1" applyProtection="1">
      <alignment horizontal="center" vertical="center"/>
    </xf>
    <xf numFmtId="0" fontId="13" fillId="17" borderId="99" xfId="0" applyFont="1" applyFill="1" applyBorder="1" applyAlignment="1" applyProtection="1">
      <alignment horizontal="center" vertical="center"/>
    </xf>
    <xf numFmtId="0" fontId="13" fillId="2" borderId="4" xfId="0" applyFont="1" applyFill="1" applyBorder="1" applyAlignment="1" applyProtection="1">
      <alignment horizontal="left" vertical="center"/>
    </xf>
    <xf numFmtId="0" fontId="13" fillId="0" borderId="0" xfId="0" applyFont="1" applyFill="1" applyAlignment="1" applyProtection="1">
      <alignment horizontal="left" vertical="top" wrapText="1"/>
    </xf>
    <xf numFmtId="0" fontId="13" fillId="0" borderId="21" xfId="0" applyFont="1" applyFill="1" applyBorder="1" applyAlignment="1" applyProtection="1">
      <alignment horizontal="left" vertical="center" shrinkToFit="1"/>
    </xf>
    <xf numFmtId="0" fontId="13" fillId="3" borderId="64" xfId="0" applyFont="1" applyFill="1" applyBorder="1" applyAlignment="1" applyProtection="1">
      <alignment horizontal="center" vertical="center" shrinkToFit="1"/>
    </xf>
    <xf numFmtId="0" fontId="13" fillId="3" borderId="65" xfId="0" applyFont="1" applyFill="1" applyBorder="1" applyAlignment="1" applyProtection="1">
      <alignment horizontal="center" vertical="center" shrinkToFit="1"/>
    </xf>
    <xf numFmtId="0" fontId="13" fillId="0" borderId="1" xfId="0" applyFont="1" applyFill="1" applyBorder="1" applyAlignment="1" applyProtection="1">
      <alignment horizontal="left" vertical="center" wrapText="1"/>
    </xf>
    <xf numFmtId="0" fontId="13" fillId="0" borderId="98" xfId="0" applyFont="1" applyFill="1" applyBorder="1" applyAlignment="1" applyProtection="1">
      <alignment horizontal="left" vertical="center" wrapText="1"/>
    </xf>
    <xf numFmtId="0" fontId="13" fillId="0" borderId="94" xfId="0" applyFont="1" applyBorder="1" applyAlignment="1" applyProtection="1">
      <alignment horizontal="left" vertical="center" wrapText="1"/>
      <protection locked="0"/>
    </xf>
    <xf numFmtId="0" fontId="24" fillId="4" borderId="4" xfId="0" applyFont="1" applyFill="1" applyBorder="1" applyAlignment="1" applyProtection="1">
      <alignment horizontal="center" vertical="center" wrapText="1"/>
    </xf>
    <xf numFmtId="38" fontId="13" fillId="0" borderId="72" xfId="1" applyFont="1" applyFill="1" applyBorder="1" applyAlignment="1" applyProtection="1">
      <alignment horizontal="right" vertical="center"/>
    </xf>
    <xf numFmtId="38" fontId="13" fillId="0" borderId="68" xfId="1" applyFont="1" applyFill="1" applyBorder="1" applyAlignment="1" applyProtection="1">
      <alignment horizontal="right" vertical="center"/>
    </xf>
    <xf numFmtId="38" fontId="13" fillId="0" borderId="74" xfId="1" applyFont="1" applyFill="1" applyBorder="1" applyAlignment="1" applyProtection="1">
      <alignment horizontal="right" vertical="center"/>
    </xf>
    <xf numFmtId="0" fontId="22" fillId="0" borderId="64" xfId="0" applyFont="1" applyFill="1" applyBorder="1" applyAlignment="1" applyProtection="1">
      <alignment horizontal="center" vertical="center" shrinkToFit="1"/>
    </xf>
    <xf numFmtId="0" fontId="22" fillId="0" borderId="65" xfId="0" applyFont="1" applyFill="1" applyBorder="1" applyAlignment="1" applyProtection="1">
      <alignment horizontal="center" vertical="center" shrinkToFit="1"/>
    </xf>
    <xf numFmtId="0" fontId="13" fillId="3" borderId="21" xfId="0" applyFont="1" applyFill="1" applyBorder="1" applyAlignment="1" applyProtection="1">
      <alignment horizontal="left" vertical="center" shrinkToFit="1"/>
    </xf>
    <xf numFmtId="0" fontId="13" fillId="0" borderId="11"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13" fillId="0" borderId="11" xfId="0" applyFont="1" applyFill="1" applyBorder="1" applyAlignment="1" applyProtection="1">
      <alignment horizontal="left" vertical="center"/>
    </xf>
    <xf numFmtId="0" fontId="13" fillId="2" borderId="26" xfId="0" applyFont="1" applyFill="1" applyBorder="1" applyAlignment="1" applyProtection="1">
      <alignment horizontal="right" vertical="center"/>
    </xf>
    <xf numFmtId="0" fontId="13" fillId="2" borderId="27" xfId="0" applyFont="1" applyFill="1" applyBorder="1" applyAlignment="1" applyProtection="1">
      <alignment horizontal="right" vertical="center"/>
    </xf>
    <xf numFmtId="0" fontId="22" fillId="0" borderId="56" xfId="0" applyFont="1" applyFill="1" applyBorder="1" applyAlignment="1" applyProtection="1">
      <alignment horizontal="center" vertical="center" shrinkToFit="1"/>
    </xf>
    <xf numFmtId="0" fontId="22" fillId="0" borderId="58" xfId="0" applyFont="1" applyFill="1" applyBorder="1" applyAlignment="1" applyProtection="1">
      <alignment horizontal="center" vertical="center" shrinkToFit="1"/>
    </xf>
    <xf numFmtId="0" fontId="13" fillId="0" borderId="14" xfId="0" applyFont="1" applyFill="1" applyBorder="1" applyAlignment="1" applyProtection="1">
      <alignment horizontal="left" vertical="center"/>
    </xf>
    <xf numFmtId="0" fontId="13" fillId="0" borderId="15" xfId="0" applyFont="1" applyFill="1" applyBorder="1" applyAlignment="1" applyProtection="1">
      <alignment horizontal="left" vertical="center"/>
    </xf>
    <xf numFmtId="0" fontId="13" fillId="0" borderId="3" xfId="0" applyFont="1" applyFill="1" applyBorder="1" applyAlignment="1" applyProtection="1">
      <alignment horizontal="left" vertical="center"/>
    </xf>
    <xf numFmtId="0" fontId="13" fillId="3" borderId="73" xfId="0" applyFont="1" applyFill="1" applyBorder="1" applyAlignment="1" applyProtection="1">
      <alignment horizontal="left" vertical="center" shrinkToFit="1"/>
    </xf>
    <xf numFmtId="0" fontId="13" fillId="3" borderId="75" xfId="0" applyFont="1" applyFill="1" applyBorder="1" applyAlignment="1" applyProtection="1">
      <alignment horizontal="left" vertical="center" shrinkToFit="1"/>
    </xf>
    <xf numFmtId="0" fontId="22" fillId="0" borderId="11" xfId="0" applyFont="1" applyFill="1" applyBorder="1" applyAlignment="1" applyProtection="1">
      <alignment horizontal="center" vertical="center" shrinkToFit="1"/>
    </xf>
    <xf numFmtId="0" fontId="22" fillId="0" borderId="10" xfId="0" applyFont="1" applyFill="1" applyBorder="1" applyAlignment="1" applyProtection="1">
      <alignment horizontal="center" vertical="center" shrinkToFit="1"/>
    </xf>
    <xf numFmtId="0" fontId="13" fillId="4" borderId="7"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13" xfId="0" applyFont="1" applyFill="1" applyBorder="1" applyAlignment="1" applyProtection="1">
      <alignment horizontal="center" vertical="center"/>
    </xf>
    <xf numFmtId="38" fontId="13" fillId="2" borderId="4" xfId="1" applyFont="1" applyFill="1" applyBorder="1" applyAlignment="1" applyProtection="1">
      <alignment vertical="center"/>
      <protection locked="0"/>
    </xf>
    <xf numFmtId="0" fontId="13" fillId="0" borderId="14" xfId="0" applyFont="1" applyFill="1" applyBorder="1" applyAlignment="1" applyProtection="1">
      <alignment horizontal="center" vertical="center"/>
    </xf>
    <xf numFmtId="0" fontId="13" fillId="3" borderId="66" xfId="0" applyFont="1" applyFill="1" applyBorder="1" applyAlignment="1" applyProtection="1">
      <alignment horizontal="left" vertical="center" indent="2" shrinkToFit="1"/>
    </xf>
    <xf numFmtId="0" fontId="13" fillId="3" borderId="15" xfId="0" applyFont="1" applyFill="1" applyBorder="1" applyAlignment="1" applyProtection="1">
      <alignment horizontal="left" vertical="center" indent="2" shrinkToFit="1"/>
    </xf>
    <xf numFmtId="0" fontId="13" fillId="3" borderId="3" xfId="0" applyFont="1" applyFill="1" applyBorder="1" applyAlignment="1" applyProtection="1">
      <alignment horizontal="left" vertical="center" indent="2" shrinkToFit="1"/>
    </xf>
    <xf numFmtId="38" fontId="13" fillId="0" borderId="14" xfId="1" applyFont="1" applyFill="1" applyBorder="1" applyAlignment="1" applyProtection="1">
      <alignment horizontal="center" vertical="center"/>
    </xf>
    <xf numFmtId="38" fontId="13" fillId="0" borderId="15" xfId="1" applyFont="1" applyFill="1" applyBorder="1" applyAlignment="1" applyProtection="1">
      <alignment horizontal="center" vertical="center"/>
    </xf>
    <xf numFmtId="38" fontId="13" fillId="0" borderId="67" xfId="1" applyFont="1" applyFill="1" applyBorder="1" applyAlignment="1" applyProtection="1">
      <alignment horizontal="center" vertical="center"/>
    </xf>
    <xf numFmtId="0" fontId="22" fillId="0" borderId="73" xfId="0" applyFont="1" applyFill="1" applyBorder="1" applyAlignment="1" applyProtection="1">
      <alignment horizontal="center" vertical="center" shrinkToFit="1"/>
    </xf>
    <xf numFmtId="0" fontId="22" fillId="0" borderId="75" xfId="0" applyFont="1" applyFill="1" applyBorder="1" applyAlignment="1" applyProtection="1">
      <alignment horizontal="center" vertical="center" shrinkToFit="1"/>
    </xf>
    <xf numFmtId="0" fontId="13" fillId="3" borderId="12" xfId="0" applyFont="1" applyFill="1" applyBorder="1" applyAlignment="1" applyProtection="1">
      <alignment horizontal="left" vertical="center" shrinkToFit="1"/>
    </xf>
    <xf numFmtId="0" fontId="13" fillId="0" borderId="73" xfId="0" applyFont="1" applyFill="1" applyBorder="1" applyAlignment="1" applyProtection="1">
      <alignment horizontal="left" vertical="center" shrinkToFit="1"/>
    </xf>
    <xf numFmtId="0" fontId="13" fillId="0" borderId="75" xfId="0" applyFont="1" applyFill="1" applyBorder="1" applyAlignment="1" applyProtection="1">
      <alignment horizontal="left" vertical="center" shrinkToFit="1"/>
    </xf>
    <xf numFmtId="0" fontId="13" fillId="4" borderId="4" xfId="0" applyFont="1" applyFill="1" applyBorder="1" applyAlignment="1" applyProtection="1">
      <alignment horizontal="center" vertical="center" wrapText="1"/>
    </xf>
    <xf numFmtId="0" fontId="13" fillId="3" borderId="4" xfId="0" applyFont="1" applyFill="1" applyBorder="1" applyAlignment="1" applyProtection="1">
      <alignment horizontal="left" vertical="center" shrinkToFit="1"/>
    </xf>
    <xf numFmtId="0" fontId="13" fillId="0" borderId="7" xfId="0" applyFont="1" applyFill="1" applyBorder="1" applyAlignment="1" applyProtection="1">
      <alignment horizontal="right" vertical="center"/>
    </xf>
    <xf numFmtId="0" fontId="13" fillId="0" borderId="8" xfId="0" applyFont="1" applyFill="1" applyBorder="1" applyAlignment="1" applyProtection="1">
      <alignment horizontal="right" vertical="center"/>
    </xf>
    <xf numFmtId="0" fontId="13" fillId="0" borderId="13" xfId="0" applyFont="1" applyFill="1" applyBorder="1" applyAlignment="1" applyProtection="1">
      <alignment horizontal="right" vertical="center"/>
    </xf>
    <xf numFmtId="38" fontId="13" fillId="2" borderId="14" xfId="1" applyFont="1" applyFill="1" applyBorder="1" applyAlignment="1" applyProtection="1">
      <alignment horizontal="center" vertical="center"/>
    </xf>
    <xf numFmtId="38" fontId="13" fillId="2" borderId="15" xfId="1" applyFont="1" applyFill="1" applyBorder="1" applyAlignment="1" applyProtection="1">
      <alignment horizontal="center" vertical="center"/>
    </xf>
    <xf numFmtId="0" fontId="13" fillId="0" borderId="21" xfId="0" applyFont="1" applyBorder="1" applyAlignment="1" applyProtection="1">
      <alignment horizontal="center" vertical="center" textRotation="255"/>
    </xf>
    <xf numFmtId="0" fontId="13" fillId="0" borderId="10" xfId="0" applyFont="1" applyBorder="1" applyAlignment="1" applyProtection="1">
      <alignment horizontal="center" vertical="center" textRotation="255"/>
    </xf>
    <xf numFmtId="0" fontId="13" fillId="0" borderId="6" xfId="0" applyFont="1" applyBorder="1" applyAlignment="1" applyProtection="1">
      <alignment horizontal="center" vertical="center" textRotation="255"/>
    </xf>
    <xf numFmtId="0" fontId="13" fillId="0" borderId="15"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0" borderId="4" xfId="0" applyFont="1" applyFill="1" applyBorder="1" applyAlignment="1" applyProtection="1">
      <alignment horizontal="left" vertical="center" shrinkToFit="1"/>
    </xf>
    <xf numFmtId="0" fontId="13" fillId="3" borderId="3" xfId="0" applyFont="1" applyFill="1" applyBorder="1" applyAlignment="1" applyProtection="1">
      <alignment horizontal="center" vertical="center" shrinkToFit="1"/>
    </xf>
    <xf numFmtId="0" fontId="13" fillId="2" borderId="4" xfId="0" applyFont="1" applyFill="1" applyBorder="1" applyAlignment="1" applyProtection="1">
      <alignment horizontal="center" vertical="center"/>
    </xf>
    <xf numFmtId="0" fontId="15" fillId="5" borderId="14" xfId="0" applyFont="1" applyFill="1" applyBorder="1" applyAlignment="1" applyProtection="1">
      <alignment horizontal="center" vertical="center" shrinkToFit="1"/>
    </xf>
    <xf numFmtId="0" fontId="15" fillId="5" borderId="15" xfId="0" applyFont="1" applyFill="1" applyBorder="1" applyAlignment="1" applyProtection="1">
      <alignment horizontal="center" vertical="center" shrinkToFit="1"/>
    </xf>
    <xf numFmtId="0" fontId="15" fillId="5" borderId="3" xfId="0" applyFont="1" applyFill="1" applyBorder="1" applyAlignment="1" applyProtection="1">
      <alignment horizontal="center" vertical="center" shrinkToFit="1"/>
    </xf>
    <xf numFmtId="0" fontId="13" fillId="2" borderId="14" xfId="0" applyFont="1" applyFill="1" applyBorder="1" applyAlignment="1" applyProtection="1">
      <alignment horizontal="center" vertical="center" wrapText="1"/>
    </xf>
    <xf numFmtId="38" fontId="13" fillId="0" borderId="6" xfId="1" applyFont="1" applyFill="1" applyBorder="1" applyAlignment="1" applyProtection="1">
      <alignment horizontal="right" vertical="center"/>
    </xf>
    <xf numFmtId="0" fontId="13" fillId="0" borderId="121" xfId="0" applyFont="1" applyFill="1" applyBorder="1" applyAlignment="1" applyProtection="1">
      <alignment horizontal="left" vertical="center"/>
    </xf>
    <xf numFmtId="0" fontId="13" fillId="0" borderId="104" xfId="0" applyFont="1" applyFill="1" applyBorder="1" applyAlignment="1" applyProtection="1">
      <alignment horizontal="left" vertical="center"/>
    </xf>
    <xf numFmtId="0" fontId="13" fillId="0" borderId="105" xfId="0" applyFont="1" applyFill="1" applyBorder="1" applyAlignment="1" applyProtection="1">
      <alignment horizontal="left" vertical="center"/>
    </xf>
    <xf numFmtId="0" fontId="13" fillId="2" borderId="29" xfId="0" applyFont="1" applyFill="1" applyBorder="1" applyAlignment="1" applyProtection="1">
      <alignment horizontal="right" vertical="center"/>
    </xf>
    <xf numFmtId="0" fontId="13" fillId="2" borderId="30" xfId="0" applyFont="1" applyFill="1" applyBorder="1" applyAlignment="1" applyProtection="1">
      <alignment horizontal="right" vertical="center"/>
    </xf>
    <xf numFmtId="0" fontId="13" fillId="4" borderId="15" xfId="0" applyFont="1" applyFill="1" applyBorder="1" applyAlignment="1" applyProtection="1">
      <alignment horizontal="center" vertical="center" shrinkToFit="1"/>
    </xf>
    <xf numFmtId="0" fontId="13" fillId="2" borderId="118" xfId="0" applyFont="1" applyFill="1" applyBorder="1" applyAlignment="1" applyProtection="1">
      <alignment horizontal="center" vertical="center"/>
    </xf>
    <xf numFmtId="0" fontId="13" fillId="0" borderId="64" xfId="0" applyFont="1" applyFill="1" applyBorder="1" applyAlignment="1" applyProtection="1">
      <alignment horizontal="left" vertical="center" shrinkToFit="1"/>
    </xf>
    <xf numFmtId="0" fontId="13" fillId="0" borderId="65" xfId="0" applyFont="1" applyFill="1" applyBorder="1" applyAlignment="1" applyProtection="1">
      <alignment horizontal="left" vertical="center" shrinkToFit="1"/>
    </xf>
    <xf numFmtId="0" fontId="13" fillId="0" borderId="32" xfId="0" applyFont="1" applyFill="1" applyBorder="1" applyAlignment="1" applyProtection="1">
      <alignment horizontal="left" vertical="center"/>
    </xf>
    <xf numFmtId="0" fontId="13" fillId="0" borderId="33" xfId="0" applyFont="1" applyFill="1" applyBorder="1" applyAlignment="1" applyProtection="1">
      <alignment horizontal="left" vertical="center"/>
    </xf>
    <xf numFmtId="0" fontId="13" fillId="0" borderId="34" xfId="0" applyFont="1" applyFill="1" applyBorder="1" applyAlignment="1" applyProtection="1">
      <alignment horizontal="left" vertical="center"/>
    </xf>
    <xf numFmtId="0" fontId="13" fillId="2" borderId="94" xfId="0" applyFont="1" applyFill="1" applyBorder="1" applyAlignment="1" applyProtection="1">
      <alignment horizontal="center" vertical="center"/>
    </xf>
    <xf numFmtId="38" fontId="13" fillId="2" borderId="4" xfId="1" applyFont="1" applyFill="1" applyBorder="1" applyAlignment="1" applyProtection="1">
      <alignment horizontal="right" vertical="center"/>
    </xf>
    <xf numFmtId="0" fontId="13" fillId="2" borderId="106" xfId="0" applyFont="1" applyFill="1" applyBorder="1" applyAlignment="1" applyProtection="1">
      <alignment horizontal="right" vertical="center"/>
      <protection locked="0"/>
    </xf>
    <xf numFmtId="38" fontId="13" fillId="3" borderId="32" xfId="0" applyNumberFormat="1" applyFont="1" applyFill="1" applyBorder="1" applyAlignment="1" applyProtection="1">
      <alignment horizontal="right" vertical="center"/>
    </xf>
    <xf numFmtId="0" fontId="13" fillId="3" borderId="33" xfId="0" applyFont="1" applyFill="1" applyBorder="1" applyAlignment="1" applyProtection="1">
      <alignment horizontal="right" vertical="center"/>
    </xf>
    <xf numFmtId="0" fontId="13" fillId="3" borderId="34" xfId="0" applyFont="1" applyFill="1" applyBorder="1" applyAlignment="1" applyProtection="1">
      <alignment horizontal="right" vertical="center"/>
    </xf>
    <xf numFmtId="0" fontId="13" fillId="3" borderId="21" xfId="0" applyFont="1" applyFill="1" applyBorder="1" applyAlignment="1" applyProtection="1">
      <alignment horizontal="center" vertical="center" shrinkToFit="1"/>
    </xf>
    <xf numFmtId="0" fontId="15" fillId="5" borderId="203" xfId="0" applyFont="1" applyFill="1" applyBorder="1" applyAlignment="1" applyProtection="1">
      <alignment horizontal="left" vertical="center"/>
    </xf>
    <xf numFmtId="0" fontId="15" fillId="5" borderId="130" xfId="0" applyFont="1" applyFill="1" applyBorder="1" applyAlignment="1" applyProtection="1">
      <alignment horizontal="left" vertical="center"/>
    </xf>
    <xf numFmtId="0" fontId="15" fillId="5" borderId="204" xfId="0" applyFont="1" applyFill="1" applyBorder="1" applyAlignment="1" applyProtection="1">
      <alignment horizontal="left" vertical="center"/>
    </xf>
    <xf numFmtId="0" fontId="13" fillId="4" borderId="21" xfId="0" applyFont="1" applyFill="1" applyBorder="1" applyAlignment="1" applyProtection="1">
      <alignment horizontal="center" vertical="center" textRotation="255"/>
    </xf>
    <xf numFmtId="0" fontId="13" fillId="4" borderId="10" xfId="0" applyFont="1" applyFill="1" applyBorder="1" applyAlignment="1" applyProtection="1">
      <alignment horizontal="center" vertical="center" textRotation="255"/>
    </xf>
    <xf numFmtId="0" fontId="13" fillId="4" borderId="6" xfId="0" applyFont="1" applyFill="1" applyBorder="1" applyAlignment="1" applyProtection="1">
      <alignment horizontal="center" vertical="center" textRotation="255"/>
    </xf>
    <xf numFmtId="0" fontId="13" fillId="17" borderId="99" xfId="0" applyFont="1" applyFill="1" applyBorder="1" applyAlignment="1" applyProtection="1">
      <alignment horizontal="left" vertical="center" shrinkToFit="1"/>
    </xf>
    <xf numFmtId="0" fontId="13" fillId="17" borderId="14" xfId="0" applyFont="1" applyFill="1" applyBorder="1" applyAlignment="1" applyProtection="1">
      <alignment horizontal="center" vertical="center" wrapText="1"/>
    </xf>
    <xf numFmtId="0" fontId="13" fillId="17" borderId="15" xfId="0" applyFont="1" applyFill="1" applyBorder="1" applyAlignment="1" applyProtection="1">
      <alignment horizontal="center" vertical="center" wrapText="1"/>
    </xf>
    <xf numFmtId="0" fontId="13" fillId="17" borderId="3" xfId="0" applyFont="1" applyFill="1" applyBorder="1" applyAlignment="1" applyProtection="1">
      <alignment horizontal="center" vertical="center" wrapText="1"/>
    </xf>
    <xf numFmtId="0" fontId="13" fillId="0" borderId="32" xfId="0" applyFont="1" applyFill="1" applyBorder="1" applyAlignment="1" applyProtection="1">
      <alignment horizontal="left" vertical="center" shrinkToFit="1"/>
    </xf>
    <xf numFmtId="0" fontId="13" fillId="0" borderId="33" xfId="0" applyFont="1" applyFill="1" applyBorder="1" applyAlignment="1" applyProtection="1">
      <alignment horizontal="left" vertical="center" shrinkToFit="1"/>
    </xf>
    <xf numFmtId="0" fontId="13" fillId="0" borderId="34" xfId="0" applyFont="1" applyFill="1" applyBorder="1" applyAlignment="1" applyProtection="1">
      <alignment horizontal="left" vertical="center" shrinkToFit="1"/>
    </xf>
    <xf numFmtId="0" fontId="16" fillId="0" borderId="25" xfId="0" applyFont="1" applyFill="1" applyBorder="1" applyAlignment="1" applyProtection="1">
      <alignment horizontal="left" vertical="center" indent="4"/>
    </xf>
    <xf numFmtId="0" fontId="16" fillId="0" borderId="0" xfId="0" applyFont="1" applyFill="1" applyBorder="1" applyAlignment="1" applyProtection="1">
      <alignment horizontal="left" vertical="center" indent="4"/>
    </xf>
    <xf numFmtId="0" fontId="16" fillId="0" borderId="25" xfId="0" applyFont="1" applyFill="1" applyBorder="1" applyAlignment="1" applyProtection="1">
      <alignment horizontal="left" vertical="center" indent="3"/>
    </xf>
    <xf numFmtId="0" fontId="16" fillId="0" borderId="0" xfId="0" applyFont="1" applyFill="1" applyBorder="1" applyAlignment="1" applyProtection="1">
      <alignment horizontal="left" vertical="center" indent="3"/>
    </xf>
    <xf numFmtId="0" fontId="13" fillId="17" borderId="0" xfId="0" applyFont="1" applyFill="1" applyAlignment="1" applyProtection="1">
      <alignment horizontal="left" vertical="center" wrapText="1"/>
    </xf>
    <xf numFmtId="0" fontId="13" fillId="17" borderId="99" xfId="1" applyNumberFormat="1" applyFont="1" applyFill="1" applyBorder="1" applyAlignment="1" applyProtection="1">
      <alignment horizontal="right" vertical="center"/>
    </xf>
    <xf numFmtId="0" fontId="13" fillId="0" borderId="4" xfId="0" applyFont="1" applyFill="1" applyBorder="1" applyAlignment="1" applyProtection="1">
      <alignment horizontal="center" vertical="center" shrinkToFit="1"/>
      <protection locked="0"/>
    </xf>
    <xf numFmtId="0" fontId="13" fillId="0" borderId="14" xfId="0" applyFont="1" applyFill="1" applyBorder="1" applyAlignment="1" applyProtection="1">
      <alignment horizontal="center" vertical="center" shrinkToFit="1"/>
      <protection locked="0"/>
    </xf>
    <xf numFmtId="0" fontId="13" fillId="0" borderId="3" xfId="0" applyFont="1" applyFill="1" applyBorder="1" applyAlignment="1" applyProtection="1">
      <alignment horizontal="center" vertical="center" shrinkToFit="1"/>
      <protection locked="0"/>
    </xf>
    <xf numFmtId="0" fontId="13" fillId="0" borderId="14"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6" fillId="0" borderId="12" xfId="0" applyFont="1" applyFill="1" applyBorder="1" applyAlignment="1" applyProtection="1">
      <alignment horizontal="left" vertical="center"/>
    </xf>
    <xf numFmtId="0" fontId="16" fillId="0" borderId="1" xfId="0" applyFont="1" applyFill="1" applyBorder="1" applyAlignment="1" applyProtection="1">
      <alignment horizontal="left" vertical="center"/>
    </xf>
    <xf numFmtId="0" fontId="13" fillId="0" borderId="4"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protection locked="0"/>
    </xf>
    <xf numFmtId="0" fontId="13" fillId="4" borderId="14" xfId="0" applyFont="1" applyFill="1" applyBorder="1" applyAlignment="1" applyProtection="1">
      <alignment horizontal="center" vertical="center" wrapText="1"/>
    </xf>
    <xf numFmtId="38" fontId="13" fillId="0" borderId="14" xfId="0" applyNumberFormat="1" applyFont="1" applyFill="1" applyBorder="1" applyAlignment="1" applyProtection="1">
      <alignment horizontal="center" vertical="center"/>
    </xf>
    <xf numFmtId="0" fontId="13" fillId="0" borderId="0" xfId="0" applyFont="1" applyFill="1" applyBorder="1" applyAlignment="1" applyProtection="1">
      <alignment horizontal="left" vertical="top"/>
    </xf>
    <xf numFmtId="0" fontId="13" fillId="0" borderId="11" xfId="0" applyFont="1" applyFill="1" applyBorder="1" applyAlignment="1" applyProtection="1">
      <alignment horizontal="left" vertical="top"/>
    </xf>
    <xf numFmtId="0" fontId="13" fillId="0" borderId="4" xfId="0" applyFont="1" applyBorder="1" applyProtection="1">
      <alignment vertical="center"/>
      <protection locked="0"/>
    </xf>
    <xf numFmtId="0" fontId="13" fillId="2" borderId="14"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2" borderId="63"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38" fontId="13" fillId="2" borderId="94" xfId="1" applyFont="1" applyFill="1" applyBorder="1" applyAlignment="1" applyProtection="1">
      <alignment horizontal="right" vertical="center"/>
      <protection locked="0"/>
    </xf>
    <xf numFmtId="0" fontId="13" fillId="4" borderId="160" xfId="0" applyFont="1" applyFill="1" applyBorder="1" applyAlignment="1" applyProtection="1">
      <alignment horizontal="center" vertical="center"/>
    </xf>
    <xf numFmtId="0" fontId="13" fillId="4" borderId="161" xfId="0" applyFont="1" applyFill="1" applyBorder="1" applyAlignment="1" applyProtection="1">
      <alignment horizontal="center" vertical="center"/>
    </xf>
    <xf numFmtId="0" fontId="13" fillId="0" borderId="26"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13" fillId="17" borderId="62" xfId="0" applyFont="1" applyFill="1" applyBorder="1" applyAlignment="1" applyProtection="1">
      <alignment horizontal="center" vertical="center" wrapText="1"/>
    </xf>
    <xf numFmtId="0" fontId="13" fillId="17" borderId="60" xfId="0" applyFont="1" applyFill="1" applyBorder="1" applyAlignment="1" applyProtection="1">
      <alignment horizontal="center" vertical="center"/>
    </xf>
    <xf numFmtId="0" fontId="13" fillId="17" borderId="61" xfId="0" applyFont="1" applyFill="1" applyBorder="1" applyAlignment="1" applyProtection="1">
      <alignment horizontal="center" vertical="center"/>
    </xf>
    <xf numFmtId="38" fontId="13" fillId="17" borderId="119" xfId="1" applyFont="1" applyFill="1" applyBorder="1" applyAlignment="1" applyProtection="1">
      <alignment horizontal="right" vertical="center"/>
    </xf>
    <xf numFmtId="38" fontId="13" fillId="17" borderId="98" xfId="1" applyFont="1" applyFill="1" applyBorder="1" applyAlignment="1" applyProtection="1">
      <alignment horizontal="right" vertical="center"/>
    </xf>
    <xf numFmtId="0" fontId="13" fillId="2" borderId="63" xfId="0" applyFont="1" applyFill="1" applyBorder="1" applyAlignment="1" applyProtection="1">
      <alignment horizontal="left" vertical="center"/>
    </xf>
    <xf numFmtId="38" fontId="13" fillId="17" borderId="14" xfId="1" applyFont="1" applyFill="1" applyBorder="1" applyAlignment="1" applyProtection="1">
      <alignment horizontal="right" vertical="center"/>
    </xf>
    <xf numFmtId="38" fontId="13" fillId="17" borderId="15" xfId="1" applyFont="1" applyFill="1" applyBorder="1" applyAlignment="1" applyProtection="1">
      <alignment horizontal="right" vertical="center"/>
    </xf>
    <xf numFmtId="38" fontId="13" fillId="17" borderId="3" xfId="1" applyFont="1" applyFill="1" applyBorder="1" applyAlignment="1" applyProtection="1">
      <alignment horizontal="right" vertical="center"/>
    </xf>
    <xf numFmtId="0" fontId="13" fillId="0" borderId="4" xfId="0" applyFont="1" applyFill="1" applyBorder="1" applyAlignment="1" applyProtection="1">
      <alignment horizontal="center" vertical="center"/>
      <protection locked="0"/>
    </xf>
    <xf numFmtId="0" fontId="13" fillId="4" borderId="149" xfId="0" applyFont="1" applyFill="1" applyBorder="1" applyAlignment="1" applyProtection="1">
      <alignment horizontal="center" vertical="center"/>
    </xf>
    <xf numFmtId="0" fontId="13" fillId="4" borderId="84" xfId="0" applyFont="1" applyFill="1" applyBorder="1" applyAlignment="1" applyProtection="1">
      <alignment horizontal="center" vertical="center"/>
    </xf>
    <xf numFmtId="0" fontId="13" fillId="4" borderId="150" xfId="0" applyFont="1" applyFill="1" applyBorder="1" applyAlignment="1" applyProtection="1">
      <alignment horizontal="center" vertical="center"/>
    </xf>
    <xf numFmtId="0" fontId="13" fillId="17" borderId="0" xfId="0" applyFont="1" applyFill="1" applyAlignment="1" applyProtection="1">
      <alignment horizontal="left" vertical="top" wrapText="1"/>
    </xf>
    <xf numFmtId="0" fontId="13" fillId="0" borderId="4" xfId="0" applyNumberFormat="1" applyFont="1" applyFill="1" applyBorder="1" applyAlignment="1" applyProtection="1">
      <alignment horizontal="center" vertical="center"/>
    </xf>
    <xf numFmtId="38" fontId="13" fillId="2" borderId="35" xfId="1" applyFont="1" applyFill="1" applyBorder="1" applyAlignment="1" applyProtection="1">
      <alignment horizontal="center" vertical="center"/>
      <protection locked="0"/>
    </xf>
    <xf numFmtId="0" fontId="13" fillId="17" borderId="51" xfId="0" applyFont="1" applyFill="1" applyBorder="1" applyAlignment="1" applyProtection="1">
      <alignment horizontal="left" vertical="center" shrinkToFit="1"/>
    </xf>
    <xf numFmtId="38" fontId="13" fillId="17" borderId="99" xfId="1" applyFont="1" applyFill="1" applyBorder="1" applyAlignment="1" applyProtection="1">
      <alignment horizontal="right" vertical="center"/>
    </xf>
    <xf numFmtId="0" fontId="15" fillId="5" borderId="4" xfId="0" applyFont="1" applyFill="1" applyBorder="1" applyAlignment="1" applyProtection="1">
      <alignment horizontal="left" vertical="center"/>
    </xf>
    <xf numFmtId="0" fontId="13" fillId="0" borderId="0" xfId="0" applyFont="1" applyBorder="1" applyAlignment="1" applyProtection="1">
      <alignment horizontal="left" vertical="top" wrapText="1"/>
    </xf>
    <xf numFmtId="0" fontId="13" fillId="2" borderId="97" xfId="0" applyFont="1" applyFill="1" applyBorder="1" applyAlignment="1" applyProtection="1">
      <alignment horizontal="left" vertical="center"/>
    </xf>
    <xf numFmtId="38" fontId="13" fillId="2" borderId="97" xfId="1" applyFont="1" applyFill="1" applyBorder="1" applyAlignment="1" applyProtection="1">
      <alignment horizontal="right" vertical="center"/>
      <protection locked="0"/>
    </xf>
    <xf numFmtId="0" fontId="13" fillId="2" borderId="94" xfId="0" applyFont="1" applyFill="1" applyBorder="1" applyAlignment="1" applyProtection="1">
      <alignment horizontal="left" vertical="center"/>
    </xf>
    <xf numFmtId="0" fontId="13" fillId="3" borderId="4" xfId="0" applyFont="1" applyFill="1" applyBorder="1" applyAlignment="1" applyProtection="1">
      <alignment horizontal="center" vertical="center"/>
    </xf>
    <xf numFmtId="0" fontId="13" fillId="4" borderId="48" xfId="0" applyFont="1" applyFill="1" applyBorder="1" applyAlignment="1" applyProtection="1">
      <alignment horizontal="center" vertical="center"/>
    </xf>
    <xf numFmtId="0" fontId="13" fillId="4" borderId="40" xfId="0" applyFont="1" applyFill="1" applyBorder="1" applyAlignment="1" applyProtection="1">
      <alignment horizontal="center" vertical="center"/>
    </xf>
    <xf numFmtId="0" fontId="13" fillId="4" borderId="49" xfId="0" applyFont="1" applyFill="1" applyBorder="1" applyAlignment="1" applyProtection="1">
      <alignment horizontal="center" vertical="center"/>
    </xf>
    <xf numFmtId="0" fontId="13" fillId="17" borderId="98" xfId="1" applyNumberFormat="1" applyFont="1" applyFill="1" applyBorder="1" applyAlignment="1" applyProtection="1">
      <alignment horizontal="right" vertical="center"/>
    </xf>
    <xf numFmtId="38" fontId="13" fillId="2" borderId="54" xfId="1" applyFont="1" applyFill="1" applyBorder="1" applyAlignment="1" applyProtection="1">
      <alignment horizontal="center" vertical="center"/>
    </xf>
    <xf numFmtId="38" fontId="13" fillId="2" borderId="5" xfId="1" applyFont="1" applyFill="1" applyBorder="1" applyAlignment="1" applyProtection="1">
      <alignment horizontal="center" vertical="center"/>
    </xf>
    <xf numFmtId="38" fontId="13" fillId="2" borderId="9" xfId="1" applyFont="1" applyFill="1" applyBorder="1" applyAlignment="1" applyProtection="1">
      <alignment horizontal="center" vertical="center"/>
    </xf>
    <xf numFmtId="2" fontId="13" fillId="2" borderId="4" xfId="0" applyNumberFormat="1" applyFont="1" applyFill="1" applyBorder="1" applyAlignment="1" applyProtection="1">
      <alignment horizontal="center" vertical="center"/>
    </xf>
    <xf numFmtId="38" fontId="13" fillId="2" borderId="36" xfId="1" applyFont="1" applyFill="1" applyBorder="1" applyAlignment="1" applyProtection="1">
      <alignment horizontal="center" vertical="center"/>
    </xf>
    <xf numFmtId="38" fontId="13" fillId="2" borderId="37" xfId="1" applyFont="1" applyFill="1" applyBorder="1" applyAlignment="1" applyProtection="1">
      <alignment horizontal="center" vertical="center"/>
    </xf>
    <xf numFmtId="38" fontId="13" fillId="2" borderId="55" xfId="1" applyFont="1" applyFill="1" applyBorder="1" applyAlignment="1" applyProtection="1">
      <alignment horizontal="center" vertical="center"/>
    </xf>
    <xf numFmtId="0" fontId="13" fillId="4" borderId="50" xfId="0" applyFont="1" applyFill="1" applyBorder="1" applyAlignment="1" applyProtection="1">
      <alignment horizontal="center" vertical="center"/>
    </xf>
    <xf numFmtId="0" fontId="13" fillId="4" borderId="51" xfId="0" applyFont="1" applyFill="1" applyBorder="1" applyAlignment="1" applyProtection="1">
      <alignment horizontal="center" vertical="center"/>
    </xf>
    <xf numFmtId="0" fontId="13" fillId="4" borderId="52" xfId="0" applyFont="1" applyFill="1" applyBorder="1" applyAlignment="1" applyProtection="1">
      <alignment horizontal="center" vertical="center"/>
    </xf>
    <xf numFmtId="38" fontId="13" fillId="17" borderId="95" xfId="1" applyFont="1" applyFill="1" applyBorder="1" applyAlignment="1" applyProtection="1">
      <alignment horizontal="right" vertical="center"/>
    </xf>
    <xf numFmtId="38" fontId="13" fillId="17" borderId="96" xfId="1" applyFont="1" applyFill="1" applyBorder="1" applyAlignment="1" applyProtection="1">
      <alignment horizontal="right" vertical="center"/>
    </xf>
    <xf numFmtId="0" fontId="13" fillId="0" borderId="25" xfId="0" applyFont="1" applyFill="1" applyBorder="1" applyAlignment="1" applyProtection="1">
      <alignment horizontal="center" vertical="center"/>
    </xf>
    <xf numFmtId="0" fontId="13" fillId="17" borderId="63" xfId="1" applyNumberFormat="1" applyFont="1" applyFill="1" applyBorder="1" applyAlignment="1" applyProtection="1">
      <alignment horizontal="right" vertical="center"/>
    </xf>
    <xf numFmtId="0" fontId="13" fillId="17" borderId="4" xfId="0" applyFont="1" applyFill="1" applyBorder="1" applyAlignment="1" applyProtection="1">
      <alignment horizontal="center" vertical="center" wrapText="1"/>
    </xf>
    <xf numFmtId="38" fontId="13" fillId="17" borderId="63" xfId="1" applyFont="1" applyFill="1" applyBorder="1" applyAlignment="1" applyProtection="1">
      <alignment horizontal="right" vertical="center"/>
    </xf>
    <xf numFmtId="0" fontId="13" fillId="4" borderId="35" xfId="0" applyFont="1" applyFill="1" applyBorder="1" applyAlignment="1" applyProtection="1">
      <alignment horizontal="center" vertical="center" wrapText="1"/>
    </xf>
    <xf numFmtId="38" fontId="13" fillId="0" borderId="11" xfId="1" applyFont="1" applyFill="1" applyBorder="1" applyAlignment="1" applyProtection="1">
      <alignment horizontal="center" vertical="center"/>
    </xf>
    <xf numFmtId="38" fontId="13" fillId="0" borderId="10" xfId="1"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11" xfId="0" applyFont="1" applyFill="1" applyBorder="1" applyAlignment="1" applyProtection="1">
      <alignment horizontal="center" vertical="center" shrinkToFit="1"/>
    </xf>
    <xf numFmtId="0" fontId="13" fillId="0" borderId="10" xfId="0" applyFont="1" applyFill="1" applyBorder="1" applyAlignment="1" applyProtection="1">
      <alignment horizontal="center" vertical="center" shrinkToFit="1"/>
    </xf>
    <xf numFmtId="178" fontId="13" fillId="2" borderId="5" xfId="1" applyNumberFormat="1" applyFont="1" applyFill="1" applyBorder="1" applyAlignment="1" applyProtection="1">
      <alignment horizontal="center" vertical="center"/>
      <protection locked="0"/>
    </xf>
    <xf numFmtId="178" fontId="13" fillId="2" borderId="14" xfId="1" applyNumberFormat="1" applyFont="1" applyFill="1" applyBorder="1" applyAlignment="1" applyProtection="1">
      <alignment horizontal="center" vertical="center"/>
    </xf>
    <xf numFmtId="178" fontId="13" fillId="2" borderId="67" xfId="1" applyNumberFormat="1" applyFont="1" applyFill="1" applyBorder="1" applyAlignment="1" applyProtection="1">
      <alignment horizontal="center" vertical="center"/>
    </xf>
    <xf numFmtId="38" fontId="13" fillId="17" borderId="14" xfId="1" applyFont="1" applyFill="1" applyBorder="1" applyAlignment="1" applyProtection="1">
      <alignment horizontal="left" vertical="top" wrapText="1" shrinkToFit="1"/>
    </xf>
    <xf numFmtId="38" fontId="13" fillId="17" borderId="15" xfId="1" applyFont="1" applyFill="1" applyBorder="1" applyAlignment="1" applyProtection="1">
      <alignment horizontal="left" vertical="top" wrapText="1" shrinkToFit="1"/>
    </xf>
    <xf numFmtId="38" fontId="13" fillId="17" borderId="3" xfId="1" applyFont="1" applyFill="1" applyBorder="1" applyAlignment="1" applyProtection="1">
      <alignment horizontal="left" vertical="top" wrapText="1" shrinkToFit="1"/>
    </xf>
    <xf numFmtId="0" fontId="13" fillId="4" borderId="193" xfId="0" applyFont="1" applyFill="1" applyBorder="1" applyAlignment="1" applyProtection="1">
      <alignment horizontal="center" vertical="center" wrapText="1"/>
    </xf>
    <xf numFmtId="0" fontId="13" fillId="4" borderId="1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76" xfId="0" applyFont="1" applyFill="1" applyBorder="1" applyAlignment="1" applyProtection="1">
      <alignment horizontal="center" vertical="center" wrapText="1"/>
    </xf>
    <xf numFmtId="0" fontId="13" fillId="4" borderId="194" xfId="0" applyFont="1" applyFill="1" applyBorder="1" applyAlignment="1" applyProtection="1">
      <alignment horizontal="center" vertical="center" wrapText="1"/>
    </xf>
    <xf numFmtId="0" fontId="13" fillId="2" borderId="152" xfId="0" applyFont="1" applyFill="1" applyBorder="1" applyAlignment="1" applyProtection="1">
      <alignment horizontal="left" vertical="center" shrinkToFit="1"/>
    </xf>
    <xf numFmtId="0" fontId="13" fillId="2" borderId="5" xfId="0" applyFont="1" applyFill="1" applyBorder="1" applyAlignment="1" applyProtection="1">
      <alignment horizontal="left" vertical="center" shrinkToFit="1"/>
    </xf>
    <xf numFmtId="0" fontId="13" fillId="8" borderId="14" xfId="0" applyFont="1" applyFill="1" applyBorder="1" applyAlignment="1" applyProtection="1">
      <alignment horizontal="center" vertical="center" shrinkToFit="1"/>
    </xf>
    <xf numFmtId="0" fontId="13" fillId="8" borderId="67" xfId="0" applyFont="1" applyFill="1" applyBorder="1" applyAlignment="1" applyProtection="1">
      <alignment horizontal="center" vertical="center" shrinkToFit="1"/>
    </xf>
    <xf numFmtId="178" fontId="13" fillId="2" borderId="14" xfId="1" applyNumberFormat="1" applyFont="1" applyFill="1" applyBorder="1" applyAlignment="1" applyProtection="1">
      <alignment horizontal="center" vertical="center"/>
      <protection locked="0"/>
    </xf>
    <xf numFmtId="178" fontId="13" fillId="2" borderId="67" xfId="1" applyNumberFormat="1" applyFont="1" applyFill="1" applyBorder="1" applyAlignment="1" applyProtection="1">
      <alignment horizontal="center" vertical="center"/>
      <protection locked="0"/>
    </xf>
    <xf numFmtId="178" fontId="13" fillId="2" borderId="195" xfId="1" applyNumberFormat="1" applyFont="1" applyFill="1" applyBorder="1" applyAlignment="1" applyProtection="1">
      <alignment horizontal="center" vertical="center"/>
      <protection locked="0"/>
    </xf>
    <xf numFmtId="178" fontId="13" fillId="2" borderId="38" xfId="1" applyNumberFormat="1" applyFont="1" applyFill="1" applyBorder="1" applyAlignment="1" applyProtection="1">
      <alignment horizontal="center" vertical="center"/>
      <protection locked="0"/>
    </xf>
    <xf numFmtId="178" fontId="13" fillId="2" borderId="66" xfId="1" applyNumberFormat="1" applyFont="1" applyFill="1" applyBorder="1" applyAlignment="1" applyProtection="1">
      <alignment horizontal="center" vertical="center"/>
      <protection locked="0"/>
    </xf>
    <xf numFmtId="178" fontId="13" fillId="2" borderId="3" xfId="1" applyNumberFormat="1" applyFont="1" applyFill="1" applyBorder="1" applyAlignment="1" applyProtection="1">
      <alignment horizontal="center" vertical="center"/>
      <protection locked="0"/>
    </xf>
    <xf numFmtId="178" fontId="13" fillId="0" borderId="66" xfId="1" applyNumberFormat="1" applyFont="1" applyFill="1" applyBorder="1" applyAlignment="1" applyProtection="1">
      <alignment horizontal="center" vertical="center" shrinkToFit="1"/>
    </xf>
    <xf numFmtId="178" fontId="13" fillId="0" borderId="67" xfId="1" applyNumberFormat="1"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xf>
    <xf numFmtId="0" fontId="13" fillId="4" borderId="60" xfId="0" applyFont="1" applyFill="1" applyBorder="1" applyAlignment="1" applyProtection="1">
      <alignment horizontal="center" vertical="center"/>
    </xf>
    <xf numFmtId="0" fontId="13" fillId="4" borderId="61" xfId="0" applyFont="1" applyFill="1" applyBorder="1" applyAlignment="1" applyProtection="1">
      <alignment horizontal="center" vertical="center"/>
    </xf>
    <xf numFmtId="0" fontId="13" fillId="8" borderId="66" xfId="0" applyFont="1" applyFill="1" applyBorder="1" applyAlignment="1" applyProtection="1">
      <alignment horizontal="center" vertical="center"/>
    </xf>
    <xf numFmtId="0" fontId="13" fillId="8" borderId="3" xfId="0" applyFont="1" applyFill="1" applyBorder="1" applyAlignment="1" applyProtection="1">
      <alignment horizontal="center" vertical="center"/>
    </xf>
    <xf numFmtId="0" fontId="13" fillId="4" borderId="21" xfId="0" applyFont="1" applyFill="1" applyBorder="1" applyAlignment="1" applyProtection="1">
      <alignment horizontal="center" vertical="center"/>
    </xf>
    <xf numFmtId="0" fontId="13" fillId="0" borderId="25" xfId="0" applyFont="1" applyFill="1" applyBorder="1" applyAlignment="1" applyProtection="1">
      <alignment horizontal="left" vertical="center" shrinkToFit="1"/>
    </xf>
    <xf numFmtId="0" fontId="13" fillId="0" borderId="0" xfId="0" applyFont="1" applyFill="1" applyBorder="1" applyAlignment="1" applyProtection="1">
      <alignment horizontal="left" vertical="center" shrinkToFit="1"/>
    </xf>
    <xf numFmtId="0" fontId="13" fillId="0" borderId="162" xfId="0" applyFont="1" applyFill="1" applyBorder="1" applyAlignment="1" applyProtection="1">
      <alignment horizontal="left" vertical="center" shrinkToFit="1"/>
    </xf>
    <xf numFmtId="0" fontId="13" fillId="0" borderId="112" xfId="0" applyFont="1" applyFill="1" applyBorder="1" applyAlignment="1" applyProtection="1">
      <alignment horizontal="left" vertical="center" shrinkToFit="1"/>
    </xf>
    <xf numFmtId="0" fontId="13" fillId="0" borderId="163" xfId="0" applyFont="1" applyFill="1" applyBorder="1" applyAlignment="1" applyProtection="1">
      <alignment horizontal="left" vertical="center" shrinkToFit="1"/>
    </xf>
    <xf numFmtId="0" fontId="13" fillId="17" borderId="98" xfId="0" applyFont="1" applyFill="1" applyBorder="1" applyAlignment="1" applyProtection="1">
      <alignment horizontal="left" vertical="center" shrinkToFit="1"/>
    </xf>
    <xf numFmtId="0" fontId="13" fillId="2" borderId="174"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13" fillId="0" borderId="0" xfId="0" applyFont="1" applyFill="1" applyAlignment="1" applyProtection="1">
      <alignment horizontal="left" vertical="top"/>
    </xf>
    <xf numFmtId="178" fontId="13" fillId="0" borderId="196" xfId="1" applyNumberFormat="1" applyFont="1" applyFill="1" applyBorder="1" applyAlignment="1" applyProtection="1">
      <alignment horizontal="center" vertical="center" shrinkToFit="1"/>
    </xf>
    <xf numFmtId="178" fontId="13" fillId="0" borderId="199" xfId="1" applyNumberFormat="1" applyFont="1" applyFill="1" applyBorder="1" applyAlignment="1" applyProtection="1">
      <alignment horizontal="center" vertical="center" shrinkToFit="1"/>
    </xf>
    <xf numFmtId="178" fontId="13" fillId="0" borderId="195" xfId="1" applyNumberFormat="1" applyFont="1" applyFill="1" applyBorder="1" applyAlignment="1" applyProtection="1">
      <alignment horizontal="center" vertical="center" shrinkToFit="1"/>
    </xf>
    <xf numFmtId="178" fontId="13" fillId="0" borderId="184" xfId="1" applyNumberFormat="1" applyFont="1" applyFill="1" applyBorder="1" applyAlignment="1" applyProtection="1">
      <alignment horizontal="center" vertical="center" shrinkToFit="1"/>
    </xf>
    <xf numFmtId="0" fontId="13" fillId="4" borderId="6" xfId="0" applyFont="1" applyFill="1" applyBorder="1" applyAlignment="1" applyProtection="1">
      <alignment horizontal="center" vertical="center"/>
    </xf>
    <xf numFmtId="0" fontId="13" fillId="2" borderId="99" xfId="0" applyFont="1" applyFill="1" applyBorder="1" applyAlignment="1" applyProtection="1">
      <alignment horizontal="center" vertical="center"/>
    </xf>
    <xf numFmtId="0" fontId="14" fillId="0" borderId="135"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0" fontId="14" fillId="0" borderId="136" xfId="0" applyFont="1" applyFill="1" applyBorder="1" applyAlignment="1" applyProtection="1">
      <alignment horizontal="center" vertical="center"/>
    </xf>
    <xf numFmtId="0" fontId="21" fillId="2" borderId="14" xfId="0" applyFont="1" applyFill="1" applyBorder="1" applyAlignment="1" applyProtection="1">
      <alignment horizontal="left" vertical="center" wrapText="1"/>
    </xf>
    <xf numFmtId="0" fontId="21" fillId="2" borderId="15"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13" fillId="0" borderId="108" xfId="0" applyFont="1" applyFill="1" applyBorder="1" applyAlignment="1" applyProtection="1">
      <alignment horizontal="right" vertical="center"/>
      <protection locked="0"/>
    </xf>
    <xf numFmtId="0" fontId="13" fillId="0" borderId="109" xfId="0" applyFont="1" applyFill="1" applyBorder="1" applyAlignment="1" applyProtection="1">
      <alignment horizontal="right" vertical="center"/>
      <protection locked="0"/>
    </xf>
    <xf numFmtId="0" fontId="15" fillId="5" borderId="4" xfId="0" applyFont="1" applyFill="1" applyBorder="1" applyAlignment="1" applyProtection="1">
      <alignment horizontal="center" vertical="center"/>
    </xf>
    <xf numFmtId="0" fontId="13" fillId="3" borderId="100" xfId="0" applyFont="1" applyFill="1" applyBorder="1" applyAlignment="1" applyProtection="1">
      <alignment horizontal="right" vertical="center"/>
    </xf>
    <xf numFmtId="0" fontId="13" fillId="3" borderId="97" xfId="0" applyFont="1" applyFill="1" applyBorder="1" applyAlignment="1" applyProtection="1">
      <alignment horizontal="right" vertical="center"/>
    </xf>
    <xf numFmtId="0" fontId="21" fillId="0" borderId="0" xfId="0" applyFont="1" applyFill="1" applyAlignment="1" applyProtection="1">
      <alignment horizontal="left" vertical="center" wrapText="1"/>
    </xf>
    <xf numFmtId="0" fontId="13" fillId="17" borderId="12" xfId="0" applyFont="1" applyFill="1" applyBorder="1" applyAlignment="1" applyProtection="1">
      <alignment horizontal="left" vertical="center" wrapText="1"/>
    </xf>
    <xf numFmtId="0" fontId="13" fillId="17" borderId="1" xfId="0" applyFont="1" applyFill="1" applyBorder="1" applyAlignment="1" applyProtection="1">
      <alignment horizontal="left" vertical="center" wrapText="1"/>
    </xf>
    <xf numFmtId="0" fontId="13" fillId="17" borderId="2" xfId="0" applyFont="1" applyFill="1" applyBorder="1" applyAlignment="1" applyProtection="1">
      <alignment horizontal="left" vertical="center" wrapText="1"/>
    </xf>
    <xf numFmtId="0" fontId="13" fillId="17" borderId="7" xfId="0" applyFont="1" applyFill="1" applyBorder="1" applyAlignment="1" applyProtection="1">
      <alignment horizontal="left" vertical="center" wrapText="1"/>
    </xf>
    <xf numFmtId="0" fontId="13" fillId="17" borderId="8" xfId="0" applyFont="1" applyFill="1" applyBorder="1" applyAlignment="1" applyProtection="1">
      <alignment horizontal="left" vertical="center" wrapText="1"/>
    </xf>
    <xf numFmtId="0" fontId="13" fillId="17" borderId="13" xfId="0" applyFont="1" applyFill="1" applyBorder="1" applyAlignment="1" applyProtection="1">
      <alignment horizontal="left" vertical="center" wrapText="1"/>
    </xf>
    <xf numFmtId="0" fontId="13" fillId="17" borderId="32" xfId="0" applyFont="1" applyFill="1" applyBorder="1" applyAlignment="1" applyProtection="1">
      <alignment horizontal="left" vertical="center" shrinkToFit="1"/>
    </xf>
    <xf numFmtId="0" fontId="13" fillId="17" borderId="33" xfId="0" applyFont="1" applyFill="1" applyBorder="1" applyAlignment="1" applyProtection="1">
      <alignment horizontal="left" vertical="center" shrinkToFit="1"/>
    </xf>
    <xf numFmtId="0" fontId="13" fillId="17" borderId="34" xfId="0" applyFont="1" applyFill="1" applyBorder="1" applyAlignment="1" applyProtection="1">
      <alignment horizontal="left" vertical="center" shrinkToFit="1"/>
    </xf>
    <xf numFmtId="0" fontId="13" fillId="17" borderId="29" xfId="0" applyFont="1" applyFill="1" applyBorder="1" applyAlignment="1" applyProtection="1">
      <alignment horizontal="left" vertical="center" shrinkToFit="1"/>
    </xf>
    <xf numFmtId="0" fontId="13" fillId="17" borderId="30" xfId="0" applyFont="1" applyFill="1" applyBorder="1" applyAlignment="1" applyProtection="1">
      <alignment horizontal="left" vertical="center" shrinkToFit="1"/>
    </xf>
    <xf numFmtId="0" fontId="13" fillId="17" borderId="31" xfId="0" applyFont="1" applyFill="1" applyBorder="1" applyAlignment="1" applyProtection="1">
      <alignment horizontal="left" vertical="center" shrinkToFit="1"/>
    </xf>
    <xf numFmtId="38" fontId="13" fillId="2" borderId="3" xfId="1" applyFont="1" applyFill="1" applyBorder="1" applyAlignment="1" applyProtection="1">
      <alignment horizontal="center" vertical="center"/>
    </xf>
    <xf numFmtId="0" fontId="13" fillId="0" borderId="4" xfId="0" applyFont="1" applyFill="1" applyBorder="1" applyAlignment="1" applyProtection="1">
      <alignment horizontal="left" vertical="center"/>
    </xf>
    <xf numFmtId="178" fontId="13" fillId="2" borderId="4" xfId="1" applyNumberFormat="1" applyFont="1" applyFill="1" applyBorder="1" applyAlignment="1" applyProtection="1">
      <alignment horizontal="center" vertical="center"/>
    </xf>
    <xf numFmtId="178" fontId="13" fillId="2" borderId="53" xfId="1" applyNumberFormat="1" applyFont="1" applyFill="1" applyBorder="1" applyAlignment="1" applyProtection="1">
      <alignment horizontal="center" vertical="center"/>
    </xf>
    <xf numFmtId="38" fontId="13" fillId="0" borderId="4" xfId="0" applyNumberFormat="1"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17" borderId="94" xfId="0" applyFont="1" applyFill="1" applyBorder="1" applyAlignment="1" applyProtection="1">
      <alignment horizontal="left" vertical="center" shrinkToFit="1"/>
    </xf>
    <xf numFmtId="0" fontId="13" fillId="0" borderId="21" xfId="0" applyFont="1" applyFill="1" applyBorder="1" applyAlignment="1" applyProtection="1">
      <alignment horizontal="center" vertical="center" textRotation="255" shrinkToFit="1"/>
    </xf>
    <xf numFmtId="0" fontId="13" fillId="0" borderId="10" xfId="0" applyFont="1" applyFill="1" applyBorder="1" applyAlignment="1" applyProtection="1">
      <alignment horizontal="center" vertical="center" textRotation="255" shrinkToFit="1"/>
    </xf>
    <xf numFmtId="0" fontId="13" fillId="0" borderId="6" xfId="0" applyFont="1" applyFill="1" applyBorder="1" applyAlignment="1" applyProtection="1">
      <alignment horizontal="center" vertical="center" textRotation="255" shrinkToFit="1"/>
    </xf>
    <xf numFmtId="0" fontId="13" fillId="0" borderId="63" xfId="0" applyFont="1" applyFill="1" applyBorder="1" applyAlignment="1" applyProtection="1">
      <alignment horizontal="left" vertical="center" wrapText="1" shrinkToFit="1"/>
    </xf>
    <xf numFmtId="0" fontId="13" fillId="0" borderId="32" xfId="0" applyFont="1" applyFill="1" applyBorder="1" applyAlignment="1" applyProtection="1">
      <alignment horizontal="center" vertical="center" shrinkToFit="1"/>
    </xf>
    <xf numFmtId="0" fontId="13" fillId="0" borderId="33" xfId="0" applyFont="1" applyFill="1" applyBorder="1" applyAlignment="1" applyProtection="1">
      <alignment horizontal="center" vertical="center" shrinkToFit="1"/>
    </xf>
    <xf numFmtId="0" fontId="13" fillId="17" borderId="32" xfId="0" applyFont="1" applyFill="1" applyBorder="1" applyAlignment="1" applyProtection="1">
      <alignment horizontal="left" vertical="center"/>
    </xf>
    <xf numFmtId="0" fontId="13" fillId="17" borderId="33" xfId="0" applyFont="1" applyFill="1" applyBorder="1" applyAlignment="1" applyProtection="1">
      <alignment horizontal="left" vertical="center"/>
    </xf>
    <xf numFmtId="0" fontId="13" fillId="17" borderId="34" xfId="0" applyFont="1" applyFill="1" applyBorder="1" applyAlignment="1" applyProtection="1">
      <alignment horizontal="left" vertical="center"/>
    </xf>
    <xf numFmtId="38" fontId="13" fillId="0" borderId="12" xfId="1" applyFont="1" applyFill="1" applyBorder="1" applyAlignment="1" applyProtection="1">
      <alignment horizontal="center" vertical="center"/>
    </xf>
    <xf numFmtId="38" fontId="13" fillId="0" borderId="1" xfId="1" applyFont="1" applyFill="1" applyBorder="1" applyAlignment="1" applyProtection="1">
      <alignment horizontal="center" vertical="center"/>
    </xf>
    <xf numFmtId="38" fontId="13" fillId="0" borderId="2" xfId="1" applyFont="1" applyFill="1" applyBorder="1" applyAlignment="1" applyProtection="1">
      <alignment horizontal="center" vertical="center"/>
    </xf>
    <xf numFmtId="38" fontId="13" fillId="2" borderId="36" xfId="1" applyFont="1" applyFill="1" applyBorder="1" applyAlignment="1" applyProtection="1">
      <alignment horizontal="center" vertical="center"/>
      <protection locked="0"/>
    </xf>
    <xf numFmtId="38" fontId="13" fillId="2" borderId="37" xfId="1" applyFont="1" applyFill="1" applyBorder="1" applyAlignment="1" applyProtection="1">
      <alignment horizontal="center" vertical="center"/>
      <protection locked="0"/>
    </xf>
    <xf numFmtId="38" fontId="13" fillId="2" borderId="38" xfId="1" applyFont="1" applyFill="1" applyBorder="1" applyAlignment="1" applyProtection="1">
      <alignment horizontal="center" vertical="center"/>
      <protection locked="0"/>
    </xf>
    <xf numFmtId="38" fontId="13" fillId="2" borderId="63" xfId="1" applyFont="1" applyFill="1" applyBorder="1" applyAlignment="1" applyProtection="1">
      <alignment horizontal="right" vertical="center"/>
      <protection locked="0"/>
    </xf>
    <xf numFmtId="38" fontId="13" fillId="2" borderId="100" xfId="1" applyFont="1" applyFill="1" applyBorder="1" applyAlignment="1" applyProtection="1">
      <alignment horizontal="right" vertical="center"/>
      <protection locked="0"/>
    </xf>
    <xf numFmtId="0" fontId="13" fillId="8" borderId="14" xfId="0" applyFont="1" applyFill="1" applyBorder="1" applyAlignment="1" applyProtection="1">
      <alignment horizontal="center" vertical="center"/>
    </xf>
    <xf numFmtId="0" fontId="13" fillId="8" borderId="15" xfId="0" applyFont="1" applyFill="1" applyBorder="1" applyAlignment="1" applyProtection="1">
      <alignment horizontal="center" vertical="center"/>
    </xf>
    <xf numFmtId="0" fontId="13" fillId="8" borderId="82" xfId="0" applyFont="1" applyFill="1" applyBorder="1" applyAlignment="1" applyProtection="1">
      <alignment horizontal="center" vertical="center"/>
    </xf>
    <xf numFmtId="0" fontId="13" fillId="3" borderId="187" xfId="0" applyFont="1" applyFill="1" applyBorder="1" applyAlignment="1" applyProtection="1">
      <alignment horizontal="right" vertical="center"/>
    </xf>
    <xf numFmtId="0" fontId="13" fillId="2" borderId="100" xfId="0" applyFont="1" applyFill="1" applyBorder="1" applyAlignment="1" applyProtection="1">
      <alignment horizontal="left" vertical="center"/>
    </xf>
    <xf numFmtId="0" fontId="13" fillId="3" borderId="94" xfId="0" applyFont="1" applyFill="1" applyBorder="1" applyAlignment="1" applyProtection="1">
      <alignment horizontal="right" vertical="center"/>
    </xf>
    <xf numFmtId="0" fontId="13" fillId="4" borderId="62" xfId="0" applyFont="1" applyFill="1" applyBorder="1" applyAlignment="1" applyProtection="1">
      <alignment horizontal="center" vertical="center" wrapText="1"/>
    </xf>
    <xf numFmtId="0" fontId="13" fillId="4" borderId="60" xfId="0" applyFont="1" applyFill="1" applyBorder="1" applyAlignment="1" applyProtection="1">
      <alignment horizontal="center" vertical="center" wrapText="1"/>
    </xf>
    <xf numFmtId="38" fontId="13" fillId="2" borderId="14" xfId="1" applyFont="1" applyFill="1" applyBorder="1" applyAlignment="1" applyProtection="1">
      <alignment vertical="center"/>
      <protection locked="0"/>
    </xf>
    <xf numFmtId="38" fontId="13" fillId="2" borderId="15" xfId="1" applyFont="1" applyFill="1" applyBorder="1" applyAlignment="1" applyProtection="1">
      <alignment vertical="center"/>
      <protection locked="0"/>
    </xf>
    <xf numFmtId="38" fontId="13" fillId="2" borderId="3" xfId="1" applyFont="1" applyFill="1" applyBorder="1" applyAlignment="1" applyProtection="1">
      <alignment vertical="center"/>
      <protection locked="0"/>
    </xf>
    <xf numFmtId="38" fontId="13" fillId="17" borderId="12" xfId="1" applyFont="1" applyFill="1" applyBorder="1" applyAlignment="1" applyProtection="1">
      <alignment horizontal="center" vertical="center" shrinkToFit="1"/>
    </xf>
    <xf numFmtId="38" fontId="13" fillId="17" borderId="1" xfId="1" applyFont="1" applyFill="1" applyBorder="1" applyAlignment="1" applyProtection="1">
      <alignment horizontal="center" vertical="center" shrinkToFit="1"/>
    </xf>
    <xf numFmtId="38" fontId="13" fillId="17" borderId="2" xfId="1" applyFont="1" applyFill="1" applyBorder="1" applyAlignment="1" applyProtection="1">
      <alignment horizontal="center" vertical="center" shrinkToFit="1"/>
    </xf>
    <xf numFmtId="0" fontId="13" fillId="17" borderId="12" xfId="0" applyFont="1" applyFill="1" applyBorder="1" applyAlignment="1" applyProtection="1">
      <alignment horizontal="center" vertical="center"/>
    </xf>
    <xf numFmtId="0" fontId="13" fillId="17" borderId="1" xfId="0" applyFont="1" applyFill="1" applyBorder="1" applyAlignment="1" applyProtection="1">
      <alignment horizontal="center" vertical="center"/>
    </xf>
    <xf numFmtId="0" fontId="13" fillId="17" borderId="2" xfId="0" applyFont="1" applyFill="1" applyBorder="1" applyAlignment="1" applyProtection="1">
      <alignment horizontal="center" vertical="center"/>
    </xf>
    <xf numFmtId="178" fontId="13" fillId="2" borderId="86" xfId="1" applyNumberFormat="1" applyFont="1" applyFill="1" applyBorder="1" applyAlignment="1" applyProtection="1">
      <alignment horizontal="center" vertical="center"/>
    </xf>
    <xf numFmtId="178" fontId="13" fillId="2" borderId="184" xfId="1" applyNumberFormat="1" applyFont="1" applyFill="1" applyBorder="1" applyAlignment="1" applyProtection="1">
      <alignment horizontal="center" vertical="center"/>
    </xf>
    <xf numFmtId="0" fontId="13" fillId="4" borderId="151" xfId="0" applyFont="1" applyFill="1" applyBorder="1" applyAlignment="1" applyProtection="1">
      <alignment horizontal="left" vertical="center" wrapText="1"/>
    </xf>
    <xf numFmtId="0" fontId="13" fillId="4" borderId="84"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3" fillId="0" borderId="80" xfId="0" applyFont="1" applyFill="1" applyBorder="1" applyAlignment="1" applyProtection="1">
      <alignment horizontal="center" vertical="center"/>
    </xf>
    <xf numFmtId="0" fontId="13" fillId="2" borderId="65" xfId="0" applyFont="1" applyFill="1" applyBorder="1" applyAlignment="1" applyProtection="1">
      <alignment horizontal="center" vertical="center"/>
    </xf>
    <xf numFmtId="0" fontId="13" fillId="2" borderId="98" xfId="0" applyFont="1" applyFill="1" applyBorder="1" applyAlignment="1" applyProtection="1">
      <alignment horizontal="center" vertical="center"/>
    </xf>
    <xf numFmtId="0" fontId="13" fillId="0" borderId="25" xfId="0" applyFont="1" applyFill="1" applyBorder="1" applyAlignment="1" applyProtection="1">
      <alignment horizontal="left" vertical="center" wrapText="1" shrinkToFit="1"/>
    </xf>
    <xf numFmtId="38" fontId="13" fillId="0" borderId="4" xfId="1" applyFont="1" applyFill="1" applyBorder="1" applyAlignment="1" applyProtection="1">
      <alignment horizontal="center" vertical="center" wrapText="1"/>
      <protection locked="0"/>
    </xf>
    <xf numFmtId="38" fontId="13" fillId="0" borderId="21" xfId="1" applyFont="1" applyFill="1" applyBorder="1" applyAlignment="1" applyProtection="1">
      <alignment horizontal="center" vertical="center" wrapText="1"/>
      <protection locked="0"/>
    </xf>
    <xf numFmtId="0" fontId="15" fillId="5" borderId="7" xfId="0" applyFont="1" applyFill="1" applyBorder="1" applyAlignment="1" applyProtection="1">
      <alignment horizontal="left" vertical="center" shrinkToFit="1"/>
    </xf>
    <xf numFmtId="0" fontId="15" fillId="5" borderId="8" xfId="0" applyFont="1" applyFill="1" applyBorder="1" applyAlignment="1" applyProtection="1">
      <alignment horizontal="left" vertical="center" shrinkToFit="1"/>
    </xf>
    <xf numFmtId="0" fontId="15" fillId="5" borderId="13" xfId="0" applyFont="1" applyFill="1" applyBorder="1" applyAlignment="1" applyProtection="1">
      <alignment horizontal="left" vertical="center" shrinkToFit="1"/>
    </xf>
    <xf numFmtId="0" fontId="13" fillId="8" borderId="4" xfId="0" applyFont="1" applyFill="1" applyBorder="1" applyAlignment="1" applyProtection="1">
      <alignment horizontal="center" vertical="center" wrapText="1"/>
    </xf>
    <xf numFmtId="0" fontId="13" fillId="8" borderId="53" xfId="0" applyFont="1" applyFill="1" applyBorder="1" applyAlignment="1" applyProtection="1">
      <alignment horizontal="center" vertical="center"/>
    </xf>
    <xf numFmtId="38" fontId="13" fillId="17" borderId="152" xfId="1" applyFont="1" applyFill="1" applyBorder="1" applyAlignment="1" applyProtection="1">
      <alignment horizontal="right" vertical="center"/>
    </xf>
    <xf numFmtId="38" fontId="13" fillId="17" borderId="5" xfId="1" applyFont="1" applyFill="1" applyBorder="1" applyAlignment="1" applyProtection="1">
      <alignment horizontal="right" vertical="center"/>
    </xf>
    <xf numFmtId="38" fontId="13" fillId="19" borderId="14" xfId="1" applyFont="1" applyFill="1" applyBorder="1" applyAlignment="1" applyProtection="1">
      <alignment horizontal="right" vertical="center"/>
      <protection locked="0"/>
    </xf>
    <xf numFmtId="38" fontId="13" fillId="19" borderId="15" xfId="1" applyFont="1" applyFill="1" applyBorder="1" applyAlignment="1" applyProtection="1">
      <alignment horizontal="right" vertical="center"/>
      <protection locked="0"/>
    </xf>
    <xf numFmtId="0" fontId="13" fillId="0" borderId="12"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38" fontId="13" fillId="3" borderId="207" xfId="1" applyFont="1" applyFill="1" applyBorder="1" applyAlignment="1" applyProtection="1">
      <alignment horizontal="right" vertical="center"/>
    </xf>
    <xf numFmtId="38" fontId="13" fillId="3" borderId="187" xfId="1" applyFont="1" applyFill="1" applyBorder="1" applyAlignment="1" applyProtection="1">
      <alignment horizontal="right" vertical="center"/>
    </xf>
    <xf numFmtId="38" fontId="13" fillId="0" borderId="164" xfId="1" applyFont="1" applyFill="1" applyBorder="1" applyAlignment="1" applyProtection="1">
      <alignment horizontal="right" vertical="center"/>
      <protection locked="0"/>
    </xf>
    <xf numFmtId="0" fontId="13" fillId="3" borderId="62" xfId="0" applyFont="1" applyFill="1" applyBorder="1" applyAlignment="1" applyProtection="1">
      <alignment horizontal="center" vertical="center" wrapText="1"/>
    </xf>
    <xf numFmtId="0" fontId="13" fillId="3" borderId="60" xfId="0" applyFont="1" applyFill="1" applyBorder="1" applyAlignment="1" applyProtection="1">
      <alignment horizontal="center" vertical="center"/>
    </xf>
    <xf numFmtId="178" fontId="13" fillId="2" borderId="86" xfId="1" applyNumberFormat="1" applyFont="1" applyFill="1" applyBorder="1" applyAlignment="1" applyProtection="1">
      <alignment horizontal="center" vertical="center"/>
      <protection locked="0"/>
    </xf>
    <xf numFmtId="178" fontId="13" fillId="2" borderId="184" xfId="1" applyNumberFormat="1" applyFont="1" applyFill="1" applyBorder="1" applyAlignment="1" applyProtection="1">
      <alignment horizontal="center" vertical="center"/>
      <protection locked="0"/>
    </xf>
    <xf numFmtId="178" fontId="13" fillId="2" borderId="198" xfId="1" applyNumberFormat="1" applyFont="1" applyFill="1" applyBorder="1" applyAlignment="1" applyProtection="1">
      <alignment horizontal="center" vertical="center"/>
    </xf>
    <xf numFmtId="178" fontId="13" fillId="2" borderId="199" xfId="1" applyNumberFormat="1" applyFont="1" applyFill="1" applyBorder="1" applyAlignment="1" applyProtection="1">
      <alignment horizontal="center" vertical="center"/>
    </xf>
    <xf numFmtId="178" fontId="13" fillId="2" borderId="196" xfId="1" applyNumberFormat="1" applyFont="1" applyFill="1" applyBorder="1" applyAlignment="1" applyProtection="1">
      <alignment horizontal="center" vertical="center"/>
    </xf>
    <xf numFmtId="178" fontId="13" fillId="2" borderId="197" xfId="1" applyNumberFormat="1" applyFont="1" applyFill="1" applyBorder="1" applyAlignment="1" applyProtection="1">
      <alignment horizontal="center" vertical="center"/>
    </xf>
    <xf numFmtId="0" fontId="13" fillId="0" borderId="4" xfId="0" applyFont="1" applyBorder="1" applyAlignment="1" applyProtection="1">
      <alignment horizontal="left" vertical="center"/>
    </xf>
    <xf numFmtId="38" fontId="13" fillId="3" borderId="119" xfId="1" applyFont="1" applyFill="1" applyBorder="1" applyAlignment="1" applyProtection="1">
      <alignment horizontal="right" vertical="center"/>
    </xf>
    <xf numFmtId="38" fontId="13" fillId="3" borderId="98" xfId="1" applyFont="1" applyFill="1" applyBorder="1" applyAlignment="1" applyProtection="1">
      <alignment horizontal="right" vertical="center"/>
    </xf>
    <xf numFmtId="38" fontId="13" fillId="2" borderId="4" xfId="1" applyNumberFormat="1" applyFont="1" applyFill="1" applyBorder="1" applyAlignment="1" applyProtection="1">
      <alignment horizontal="center" vertical="center"/>
      <protection locked="0"/>
    </xf>
    <xf numFmtId="38" fontId="13" fillId="2" borderId="4" xfId="1" applyNumberFormat="1" applyFont="1" applyFill="1" applyBorder="1" applyAlignment="1" applyProtection="1">
      <alignment horizontal="center" vertical="center"/>
    </xf>
    <xf numFmtId="38" fontId="13" fillId="3" borderId="95" xfId="1" applyFont="1" applyFill="1" applyBorder="1" applyAlignment="1" applyProtection="1">
      <alignment horizontal="right" vertical="center"/>
    </xf>
    <xf numFmtId="38" fontId="13" fillId="3" borderId="96" xfId="1" applyFont="1" applyFill="1" applyBorder="1" applyAlignment="1" applyProtection="1">
      <alignment horizontal="right" vertical="center"/>
    </xf>
    <xf numFmtId="0" fontId="13" fillId="17" borderId="7" xfId="0" applyFont="1" applyFill="1" applyBorder="1" applyAlignment="1" applyProtection="1">
      <alignment horizontal="left" vertical="center" shrinkToFit="1"/>
    </xf>
    <xf numFmtId="0" fontId="13" fillId="17" borderId="8" xfId="0" applyFont="1" applyFill="1" applyBorder="1" applyAlignment="1" applyProtection="1">
      <alignment horizontal="left" vertical="center" shrinkToFit="1"/>
    </xf>
    <xf numFmtId="0" fontId="13" fillId="17" borderId="13" xfId="0" applyFont="1" applyFill="1" applyBorder="1" applyAlignment="1" applyProtection="1">
      <alignment horizontal="left" vertical="center" shrinkToFit="1"/>
    </xf>
    <xf numFmtId="0" fontId="20" fillId="17" borderId="4" xfId="0" applyFont="1" applyFill="1" applyBorder="1" applyAlignment="1" applyProtection="1">
      <alignment horizontal="left" vertical="center"/>
    </xf>
    <xf numFmtId="0" fontId="13" fillId="17" borderId="21" xfId="0" applyFont="1" applyFill="1" applyBorder="1" applyAlignment="1" applyProtection="1">
      <alignment horizontal="center" vertical="center" textRotation="255" shrinkToFit="1"/>
    </xf>
    <xf numFmtId="0" fontId="13" fillId="17" borderId="10" xfId="0" applyFont="1" applyFill="1" applyBorder="1" applyAlignment="1" applyProtection="1">
      <alignment horizontal="center" vertical="center" textRotation="255" shrinkToFit="1"/>
    </xf>
    <xf numFmtId="0" fontId="13" fillId="17" borderId="6" xfId="0" applyFont="1" applyFill="1" applyBorder="1" applyAlignment="1" applyProtection="1">
      <alignment horizontal="center" vertical="center" textRotation="255" shrinkToFit="1"/>
    </xf>
    <xf numFmtId="0" fontId="13" fillId="17" borderId="4" xfId="0" applyFont="1" applyFill="1" applyBorder="1" applyAlignment="1" applyProtection="1">
      <alignment horizontal="left" vertical="center" shrinkToFit="1"/>
    </xf>
    <xf numFmtId="0" fontId="13" fillId="17" borderId="4" xfId="0" applyFont="1" applyFill="1" applyBorder="1" applyAlignment="1" applyProtection="1">
      <alignment horizontal="left" vertical="center"/>
    </xf>
    <xf numFmtId="0" fontId="13" fillId="2" borderId="21" xfId="0" applyFont="1" applyFill="1" applyBorder="1" applyAlignment="1" applyProtection="1">
      <alignment horizontal="left" vertical="center"/>
      <protection locked="0"/>
    </xf>
    <xf numFmtId="0" fontId="13" fillId="4" borderId="4" xfId="0" applyFont="1" applyFill="1" applyBorder="1" applyAlignment="1" applyProtection="1">
      <alignment horizontal="center" vertical="center" wrapText="1" shrinkToFit="1"/>
    </xf>
    <xf numFmtId="0" fontId="13" fillId="19" borderId="161" xfId="0" applyFont="1" applyFill="1" applyBorder="1" applyAlignment="1" applyProtection="1">
      <alignment horizontal="right" vertical="center"/>
      <protection locked="0"/>
    </xf>
    <xf numFmtId="0" fontId="13" fillId="8" borderId="4" xfId="0" applyFont="1" applyFill="1" applyBorder="1" applyAlignment="1" applyProtection="1">
      <alignment horizontal="center" vertical="center" shrinkToFit="1"/>
    </xf>
    <xf numFmtId="0" fontId="13" fillId="4" borderId="193" xfId="0" applyFont="1" applyFill="1" applyBorder="1" applyAlignment="1" applyProtection="1">
      <alignment horizontal="center" vertical="center" wrapText="1" shrinkToFit="1"/>
    </xf>
    <xf numFmtId="0" fontId="13" fillId="4" borderId="17" xfId="0" applyFont="1" applyFill="1" applyBorder="1" applyAlignment="1" applyProtection="1">
      <alignment horizontal="center" vertical="center" wrapText="1" shrinkToFit="1"/>
    </xf>
    <xf numFmtId="0" fontId="13" fillId="4" borderId="200" xfId="0" applyFont="1" applyFill="1" applyBorder="1" applyAlignment="1" applyProtection="1">
      <alignment horizontal="center" vertical="center" wrapText="1" shrinkToFit="1"/>
    </xf>
    <xf numFmtId="0" fontId="13" fillId="4" borderId="18" xfId="0" applyFont="1" applyFill="1" applyBorder="1" applyAlignment="1" applyProtection="1">
      <alignment horizontal="center" vertical="center" wrapText="1" shrinkToFit="1"/>
    </xf>
    <xf numFmtId="0" fontId="13" fillId="4" borderId="76" xfId="0" applyFont="1" applyFill="1" applyBorder="1" applyAlignment="1" applyProtection="1">
      <alignment horizontal="center" vertical="center" wrapText="1" shrinkToFit="1"/>
    </xf>
    <xf numFmtId="0" fontId="13" fillId="4" borderId="194" xfId="0" applyFont="1" applyFill="1" applyBorder="1" applyAlignment="1" applyProtection="1">
      <alignment horizontal="center" vertical="center" wrapText="1" shrinkToFit="1"/>
    </xf>
    <xf numFmtId="0" fontId="13" fillId="4" borderId="174" xfId="0" applyFont="1" applyFill="1" applyBorder="1" applyAlignment="1" applyProtection="1">
      <alignment horizontal="center" vertical="center" wrapText="1"/>
    </xf>
    <xf numFmtId="0" fontId="13" fillId="2" borderId="93" xfId="0" applyFont="1" applyFill="1" applyBorder="1" applyAlignment="1" applyProtection="1">
      <alignment horizontal="right" vertical="center"/>
      <protection locked="0"/>
    </xf>
    <xf numFmtId="0" fontId="13" fillId="2" borderId="68" xfId="0" applyFont="1" applyFill="1" applyBorder="1" applyAlignment="1" applyProtection="1">
      <alignment horizontal="right" vertical="center"/>
      <protection locked="0"/>
    </xf>
    <xf numFmtId="0" fontId="13" fillId="2" borderId="72" xfId="0" applyFont="1" applyFill="1" applyBorder="1" applyAlignment="1" applyProtection="1">
      <alignment horizontal="right" vertical="center"/>
      <protection locked="0"/>
    </xf>
    <xf numFmtId="0" fontId="13" fillId="2" borderId="12" xfId="0" applyFont="1" applyFill="1" applyBorder="1" applyAlignment="1" applyProtection="1">
      <alignment horizontal="right" vertical="center"/>
      <protection locked="0"/>
    </xf>
    <xf numFmtId="0" fontId="13" fillId="2" borderId="1" xfId="0" applyFont="1" applyFill="1" applyBorder="1" applyAlignment="1" applyProtection="1">
      <alignment horizontal="right" vertical="center"/>
      <protection locked="0"/>
    </xf>
    <xf numFmtId="0" fontId="13" fillId="0" borderId="12" xfId="0" applyFont="1" applyFill="1" applyBorder="1" applyAlignment="1" applyProtection="1">
      <alignment horizontal="left" vertical="center"/>
    </xf>
    <xf numFmtId="0" fontId="13" fillId="0" borderId="1" xfId="0" applyFont="1" applyFill="1" applyBorder="1" applyAlignment="1" applyProtection="1">
      <alignment horizontal="left" vertical="center"/>
    </xf>
    <xf numFmtId="0" fontId="13" fillId="0" borderId="2" xfId="0" applyFont="1" applyFill="1" applyBorder="1" applyAlignment="1" applyProtection="1">
      <alignment horizontal="left" vertical="center"/>
    </xf>
    <xf numFmtId="0" fontId="64" fillId="0" borderId="7" xfId="0" applyFont="1" applyFill="1" applyBorder="1" applyAlignment="1" applyProtection="1">
      <alignment horizontal="left" vertical="center"/>
      <protection hidden="1"/>
    </xf>
    <xf numFmtId="0" fontId="64" fillId="0" borderId="8" xfId="0" applyFont="1" applyFill="1" applyBorder="1" applyAlignment="1" applyProtection="1">
      <alignment horizontal="left" vertical="center"/>
      <protection hidden="1"/>
    </xf>
    <xf numFmtId="0" fontId="64" fillId="0" borderId="13" xfId="0" applyFont="1" applyFill="1" applyBorder="1" applyAlignment="1" applyProtection="1">
      <alignment horizontal="left" vertical="center"/>
      <protection hidden="1"/>
    </xf>
    <xf numFmtId="0" fontId="64" fillId="2" borderId="14" xfId="0" applyFont="1" applyFill="1" applyBorder="1" applyAlignment="1" applyProtection="1">
      <alignment horizontal="right" vertical="center"/>
      <protection hidden="1"/>
    </xf>
    <xf numFmtId="0" fontId="64" fillId="2" borderId="15" xfId="0" applyFont="1" applyFill="1" applyBorder="1" applyAlignment="1" applyProtection="1">
      <alignment horizontal="right" vertical="center"/>
      <protection hidden="1"/>
    </xf>
    <xf numFmtId="0" fontId="65" fillId="7" borderId="21" xfId="0" applyFont="1" applyFill="1" applyBorder="1" applyAlignment="1" applyProtection="1">
      <alignment horizontal="center" vertical="center" textRotation="255"/>
      <protection hidden="1"/>
    </xf>
    <xf numFmtId="0" fontId="65" fillId="7" borderId="10" xfId="0" applyFont="1" applyFill="1" applyBorder="1" applyAlignment="1" applyProtection="1">
      <alignment horizontal="center" vertical="center" textRotation="255"/>
      <protection hidden="1"/>
    </xf>
    <xf numFmtId="0" fontId="65" fillId="7" borderId="6" xfId="0" applyFont="1" applyFill="1" applyBorder="1" applyAlignment="1" applyProtection="1">
      <alignment horizontal="center" vertical="center" textRotation="255"/>
      <protection hidden="1"/>
    </xf>
    <xf numFmtId="0" fontId="64" fillId="0" borderId="34" xfId="0" applyFont="1" applyFill="1" applyBorder="1" applyAlignment="1" applyProtection="1">
      <alignment horizontal="center" vertical="center"/>
      <protection hidden="1"/>
    </xf>
    <xf numFmtId="0" fontId="64" fillId="0" borderId="98" xfId="0" applyFont="1" applyFill="1" applyBorder="1" applyAlignment="1" applyProtection="1">
      <alignment horizontal="center" vertical="center"/>
      <protection hidden="1"/>
    </xf>
    <xf numFmtId="0" fontId="13" fillId="0" borderId="94" xfId="0" applyFont="1" applyFill="1" applyBorder="1" applyAlignment="1" applyProtection="1">
      <alignment horizontal="left" vertical="center" wrapText="1" shrinkToFit="1"/>
    </xf>
    <xf numFmtId="38" fontId="13" fillId="0" borderId="98" xfId="1" applyFont="1" applyFill="1" applyBorder="1" applyAlignment="1" applyProtection="1">
      <alignment horizontal="right" vertical="center"/>
      <protection locked="0"/>
    </xf>
    <xf numFmtId="0" fontId="13" fillId="4" borderId="83" xfId="0" applyFont="1" applyFill="1" applyBorder="1" applyAlignment="1" applyProtection="1">
      <alignment horizontal="left" vertical="center" wrapText="1"/>
    </xf>
    <xf numFmtId="0" fontId="13" fillId="4" borderId="12" xfId="0" applyFont="1" applyFill="1" applyBorder="1" applyAlignment="1" applyProtection="1">
      <alignment horizontal="left" vertical="center"/>
    </xf>
    <xf numFmtId="0" fontId="13" fillId="4" borderId="1" xfId="0" applyFont="1" applyFill="1" applyBorder="1" applyAlignment="1" applyProtection="1">
      <alignment horizontal="left" vertical="center"/>
    </xf>
    <xf numFmtId="0" fontId="13" fillId="4" borderId="2" xfId="0" applyFont="1" applyFill="1" applyBorder="1" applyAlignment="1" applyProtection="1">
      <alignment horizontal="left" vertical="center"/>
    </xf>
    <xf numFmtId="0" fontId="65" fillId="5" borderId="14" xfId="0" applyFont="1" applyFill="1" applyBorder="1" applyAlignment="1" applyProtection="1">
      <alignment horizontal="left" vertical="center" shrinkToFit="1"/>
    </xf>
    <xf numFmtId="0" fontId="65" fillId="5" borderId="15" xfId="0" applyFont="1" applyFill="1" applyBorder="1" applyAlignment="1" applyProtection="1">
      <alignment horizontal="left" vertical="center" shrinkToFit="1"/>
    </xf>
    <xf numFmtId="0" fontId="65" fillId="5" borderId="3" xfId="0" applyFont="1" applyFill="1" applyBorder="1" applyAlignment="1" applyProtection="1">
      <alignment horizontal="left" vertical="center" shrinkToFit="1"/>
    </xf>
    <xf numFmtId="0" fontId="64" fillId="0" borderId="21" xfId="0" applyFont="1" applyBorder="1" applyAlignment="1" applyProtection="1">
      <alignment horizontal="center" vertical="center" textRotation="255"/>
      <protection hidden="1"/>
    </xf>
    <xf numFmtId="0" fontId="64" fillId="0" borderId="10" xfId="0" applyFont="1" applyBorder="1" applyAlignment="1" applyProtection="1">
      <alignment horizontal="center" vertical="center" textRotation="255"/>
      <protection hidden="1"/>
    </xf>
    <xf numFmtId="0" fontId="64" fillId="0" borderId="6" xfId="0" applyFont="1" applyBorder="1" applyAlignment="1" applyProtection="1">
      <alignment horizontal="center" vertical="center" textRotation="255"/>
      <protection hidden="1"/>
    </xf>
    <xf numFmtId="0" fontId="64" fillId="4" borderId="3" xfId="0" applyFont="1" applyFill="1" applyBorder="1" applyAlignment="1" applyProtection="1">
      <alignment horizontal="center" vertical="center" shrinkToFit="1"/>
      <protection hidden="1"/>
    </xf>
    <xf numFmtId="0" fontId="64" fillId="4" borderId="4" xfId="0" applyFont="1" applyFill="1" applyBorder="1" applyAlignment="1" applyProtection="1">
      <alignment horizontal="center" vertical="center" shrinkToFit="1"/>
      <protection hidden="1"/>
    </xf>
    <xf numFmtId="0" fontId="64" fillId="4" borderId="14" xfId="0" applyFont="1" applyFill="1" applyBorder="1" applyAlignment="1" applyProtection="1">
      <alignment horizontal="center" vertical="center" shrinkToFit="1"/>
      <protection hidden="1"/>
    </xf>
    <xf numFmtId="0" fontId="64" fillId="4" borderId="15" xfId="0" applyFont="1" applyFill="1" applyBorder="1" applyAlignment="1" applyProtection="1">
      <alignment horizontal="center" vertical="center" shrinkToFit="1"/>
      <protection hidden="1"/>
    </xf>
    <xf numFmtId="0" fontId="64" fillId="4" borderId="35" xfId="0" applyFont="1" applyFill="1" applyBorder="1" applyAlignment="1" applyProtection="1">
      <alignment horizontal="center" vertical="center"/>
      <protection hidden="1"/>
    </xf>
    <xf numFmtId="0" fontId="64" fillId="4" borderId="15" xfId="0" applyFont="1" applyFill="1" applyBorder="1" applyAlignment="1" applyProtection="1">
      <alignment horizontal="center" vertical="center"/>
      <protection hidden="1"/>
    </xf>
    <xf numFmtId="0" fontId="64" fillId="4" borderId="3" xfId="0" applyFont="1" applyFill="1" applyBorder="1" applyAlignment="1" applyProtection="1">
      <alignment horizontal="center" vertical="center"/>
      <protection hidden="1"/>
    </xf>
    <xf numFmtId="0" fontId="13" fillId="0" borderId="15" xfId="0" applyFont="1" applyFill="1" applyBorder="1" applyAlignment="1" applyProtection="1">
      <alignment horizontal="left" vertical="center" shrinkToFit="1"/>
    </xf>
    <xf numFmtId="0" fontId="64" fillId="0" borderId="28" xfId="0" applyFont="1" applyFill="1" applyBorder="1" applyAlignment="1" applyProtection="1">
      <alignment horizontal="center" vertical="center"/>
      <protection hidden="1"/>
    </xf>
    <xf numFmtId="0" fontId="64" fillId="0" borderId="63" xfId="0" applyFont="1" applyFill="1" applyBorder="1" applyAlignment="1" applyProtection="1">
      <alignment horizontal="center" vertical="center"/>
      <protection hidden="1"/>
    </xf>
    <xf numFmtId="0" fontId="64" fillId="0" borderId="103" xfId="0" applyFont="1" applyFill="1" applyBorder="1" applyAlignment="1" applyProtection="1">
      <alignment horizontal="center" vertical="center"/>
      <protection hidden="1"/>
    </xf>
    <xf numFmtId="0" fontId="64" fillId="0" borderId="99" xfId="0" applyFont="1" applyFill="1" applyBorder="1" applyAlignment="1" applyProtection="1">
      <alignment horizontal="center" vertical="center"/>
      <protection hidden="1"/>
    </xf>
    <xf numFmtId="0" fontId="64" fillId="0" borderId="85" xfId="0" applyFont="1" applyFill="1" applyBorder="1" applyAlignment="1" applyProtection="1">
      <alignment horizontal="center" vertical="center"/>
      <protection hidden="1"/>
    </xf>
    <xf numFmtId="0" fontId="64" fillId="0" borderId="51" xfId="0" applyFont="1" applyFill="1" applyBorder="1" applyAlignment="1" applyProtection="1">
      <alignment horizontal="center" vertical="center"/>
      <protection hidden="1"/>
    </xf>
    <xf numFmtId="0" fontId="65" fillId="5" borderId="203" xfId="0" applyFont="1" applyFill="1" applyBorder="1" applyAlignment="1" applyProtection="1">
      <alignment horizontal="left" vertical="center"/>
    </xf>
    <xf numFmtId="0" fontId="65" fillId="5" borderId="130" xfId="0" applyFont="1" applyFill="1" applyBorder="1" applyAlignment="1" applyProtection="1">
      <alignment horizontal="left" vertical="center"/>
    </xf>
    <xf numFmtId="0" fontId="65" fillId="5" borderId="204" xfId="0" applyFont="1" applyFill="1" applyBorder="1" applyAlignment="1" applyProtection="1">
      <alignment horizontal="left" vertical="center"/>
    </xf>
    <xf numFmtId="0" fontId="64" fillId="0" borderId="0" xfId="0" applyFont="1" applyFill="1" applyAlignment="1" applyProtection="1">
      <alignment horizontal="left" vertical="center" wrapText="1"/>
    </xf>
    <xf numFmtId="0" fontId="64" fillId="8" borderId="14" xfId="0" applyFont="1" applyFill="1" applyBorder="1" applyAlignment="1" applyProtection="1">
      <alignment horizontal="center" vertical="center"/>
      <protection hidden="1"/>
    </xf>
    <xf numFmtId="0" fontId="64" fillId="8" borderId="15" xfId="0" applyFont="1" applyFill="1" applyBorder="1" applyAlignment="1" applyProtection="1">
      <alignment horizontal="center" vertical="center"/>
      <protection hidden="1"/>
    </xf>
    <xf numFmtId="0" fontId="64" fillId="8" borderId="3" xfId="0" applyFont="1" applyFill="1" applyBorder="1" applyAlignment="1" applyProtection="1">
      <alignment horizontal="center" vertical="center"/>
      <protection hidden="1"/>
    </xf>
    <xf numFmtId="0" fontId="64" fillId="8" borderId="82" xfId="0" applyFont="1" applyFill="1" applyBorder="1" applyAlignment="1" applyProtection="1">
      <alignment horizontal="center" vertical="center"/>
      <protection hidden="1"/>
    </xf>
    <xf numFmtId="0" fontId="64" fillId="8" borderId="92" xfId="0" applyFont="1" applyFill="1" applyBorder="1" applyAlignment="1" applyProtection="1">
      <alignment horizontal="center" vertical="center"/>
      <protection hidden="1"/>
    </xf>
    <xf numFmtId="0" fontId="64" fillId="8" borderId="4" xfId="0" applyFont="1" applyFill="1" applyBorder="1" applyAlignment="1" applyProtection="1">
      <alignment horizontal="center" vertical="center"/>
      <protection hidden="1"/>
    </xf>
    <xf numFmtId="0" fontId="64" fillId="0" borderId="14" xfId="0" applyFont="1" applyFill="1" applyBorder="1" applyAlignment="1" applyProtection="1">
      <alignment horizontal="left" vertical="center"/>
      <protection hidden="1"/>
    </xf>
    <xf numFmtId="0" fontId="64" fillId="0" borderId="15" xfId="0" applyFont="1" applyFill="1" applyBorder="1" applyAlignment="1" applyProtection="1">
      <alignment horizontal="left" vertical="center"/>
      <protection hidden="1"/>
    </xf>
    <xf numFmtId="0" fontId="64" fillId="0" borderId="3" xfId="0" applyFont="1" applyFill="1" applyBorder="1" applyAlignment="1" applyProtection="1">
      <alignment horizontal="left" vertical="center"/>
      <protection hidden="1"/>
    </xf>
    <xf numFmtId="0" fontId="22" fillId="0" borderId="123" xfId="0" applyFont="1" applyFill="1" applyBorder="1" applyAlignment="1" applyProtection="1">
      <alignment horizontal="left" vertical="center" wrapText="1" indent="1"/>
    </xf>
    <xf numFmtId="0" fontId="22" fillId="0" borderId="109" xfId="0" applyFont="1" applyFill="1" applyBorder="1" applyAlignment="1" applyProtection="1">
      <alignment horizontal="left" vertical="center" wrapText="1" indent="1"/>
    </xf>
    <xf numFmtId="0" fontId="22" fillId="0" borderId="110" xfId="0" applyFont="1" applyFill="1" applyBorder="1" applyAlignment="1" applyProtection="1">
      <alignment horizontal="left" vertical="center" wrapText="1" indent="1"/>
    </xf>
    <xf numFmtId="0" fontId="13" fillId="0" borderId="29" xfId="0" applyFont="1" applyFill="1" applyBorder="1" applyAlignment="1" applyProtection="1">
      <alignment horizontal="left" vertical="center"/>
    </xf>
    <xf numFmtId="0" fontId="13" fillId="0" borderId="30" xfId="0" applyFont="1" applyFill="1" applyBorder="1" applyAlignment="1" applyProtection="1">
      <alignment horizontal="left" vertical="center"/>
    </xf>
    <xf numFmtId="0" fontId="13" fillId="0" borderId="31" xfId="0" applyFont="1" applyFill="1" applyBorder="1" applyAlignment="1" applyProtection="1">
      <alignment horizontal="left" vertical="center"/>
    </xf>
    <xf numFmtId="0" fontId="64" fillId="4" borderId="92" xfId="0" applyFont="1" applyFill="1" applyBorder="1" applyAlignment="1" applyProtection="1">
      <alignment horizontal="center" vertical="center"/>
      <protection hidden="1"/>
    </xf>
    <xf numFmtId="0" fontId="64" fillId="4" borderId="4" xfId="0" applyFont="1" applyFill="1" applyBorder="1" applyAlignment="1" applyProtection="1">
      <alignment horizontal="center" vertical="center"/>
      <protection hidden="1"/>
    </xf>
    <xf numFmtId="0" fontId="64" fillId="0" borderId="34" xfId="0" applyFont="1" applyFill="1" applyBorder="1" applyAlignment="1" applyProtection="1">
      <alignment horizontal="center" vertical="center"/>
    </xf>
    <xf numFmtId="0" fontId="64" fillId="0" borderId="98" xfId="0" applyFont="1" applyFill="1" applyBorder="1" applyAlignment="1" applyProtection="1">
      <alignment horizontal="center" vertical="center"/>
    </xf>
    <xf numFmtId="0" fontId="64" fillId="0" borderId="28" xfId="0" applyFont="1" applyFill="1" applyBorder="1" applyAlignment="1" applyProtection="1">
      <alignment horizontal="center" vertical="center"/>
    </xf>
    <xf numFmtId="0" fontId="64" fillId="0" borderId="63" xfId="0" applyFont="1" applyFill="1" applyBorder="1" applyAlignment="1" applyProtection="1">
      <alignment horizontal="center" vertical="center"/>
    </xf>
    <xf numFmtId="0" fontId="64" fillId="0" borderId="103" xfId="0" applyFont="1" applyFill="1" applyBorder="1" applyAlignment="1" applyProtection="1">
      <alignment horizontal="center" vertical="center"/>
    </xf>
    <xf numFmtId="0" fontId="64" fillId="0" borderId="99" xfId="0" applyFont="1" applyFill="1" applyBorder="1" applyAlignment="1" applyProtection="1">
      <alignment horizontal="center" vertical="center"/>
    </xf>
    <xf numFmtId="0" fontId="64" fillId="0" borderId="85" xfId="0" applyFont="1" applyFill="1" applyBorder="1" applyAlignment="1" applyProtection="1">
      <alignment horizontal="center" vertical="center"/>
    </xf>
    <xf numFmtId="0" fontId="64" fillId="0" borderId="51" xfId="0" applyFont="1" applyFill="1" applyBorder="1" applyAlignment="1" applyProtection="1">
      <alignment horizontal="center" vertical="center"/>
    </xf>
    <xf numFmtId="0" fontId="64" fillId="4" borderId="21" xfId="0" applyFont="1" applyFill="1" applyBorder="1" applyAlignment="1" applyProtection="1">
      <alignment horizontal="center" vertical="center" textRotation="255"/>
    </xf>
    <xf numFmtId="0" fontId="64" fillId="4" borderId="10" xfId="0" applyFont="1" applyFill="1" applyBorder="1" applyAlignment="1" applyProtection="1">
      <alignment horizontal="center" vertical="center" textRotation="255"/>
    </xf>
    <xf numFmtId="0" fontId="64" fillId="4" borderId="6" xfId="0" applyFont="1" applyFill="1" applyBorder="1" applyAlignment="1" applyProtection="1">
      <alignment horizontal="center" vertical="center" textRotation="255"/>
    </xf>
    <xf numFmtId="0" fontId="64" fillId="4" borderId="3" xfId="0" applyFont="1" applyFill="1" applyBorder="1" applyAlignment="1" applyProtection="1">
      <alignment horizontal="center" vertical="center" shrinkToFit="1"/>
    </xf>
    <xf numFmtId="0" fontId="64" fillId="4" borderId="4" xfId="0" applyFont="1" applyFill="1" applyBorder="1" applyAlignment="1" applyProtection="1">
      <alignment horizontal="center" vertical="center" shrinkToFit="1"/>
    </xf>
    <xf numFmtId="0" fontId="64" fillId="4" borderId="12" xfId="0" applyFont="1" applyFill="1" applyBorder="1" applyAlignment="1" applyProtection="1">
      <alignment horizontal="center" vertical="center"/>
      <protection hidden="1"/>
    </xf>
    <xf numFmtId="0" fontId="64" fillId="4" borderId="1" xfId="0" applyFont="1" applyFill="1" applyBorder="1" applyAlignment="1" applyProtection="1">
      <alignment horizontal="center" vertical="center"/>
      <protection hidden="1"/>
    </xf>
    <xf numFmtId="0" fontId="64" fillId="4" borderId="2" xfId="0" applyFont="1" applyFill="1" applyBorder="1" applyAlignment="1" applyProtection="1">
      <alignment horizontal="center" vertical="center"/>
      <protection hidden="1"/>
    </xf>
    <xf numFmtId="0" fontId="64" fillId="4" borderId="7" xfId="0" applyFont="1" applyFill="1" applyBorder="1" applyAlignment="1" applyProtection="1">
      <alignment horizontal="center" vertical="center"/>
      <protection hidden="1"/>
    </xf>
    <xf numFmtId="0" fontId="64" fillId="4" borderId="8" xfId="0" applyFont="1" applyFill="1" applyBorder="1" applyAlignment="1" applyProtection="1">
      <alignment horizontal="center" vertical="center"/>
      <protection hidden="1"/>
    </xf>
    <xf numFmtId="0" fontId="64" fillId="4" borderId="13" xfId="0" applyFont="1" applyFill="1" applyBorder="1" applyAlignment="1" applyProtection="1">
      <alignment horizontal="center" vertical="center"/>
      <protection hidden="1"/>
    </xf>
    <xf numFmtId="0" fontId="64" fillId="4" borderId="14" xfId="0" applyFont="1" applyFill="1" applyBorder="1" applyAlignment="1" applyProtection="1">
      <alignment horizontal="center" vertical="center"/>
      <protection hidden="1"/>
    </xf>
    <xf numFmtId="0" fontId="64" fillId="4" borderId="82" xfId="0" applyFont="1" applyFill="1" applyBorder="1" applyAlignment="1" applyProtection="1">
      <alignment horizontal="center" vertical="center"/>
      <protection hidden="1"/>
    </xf>
    <xf numFmtId="10" fontId="13" fillId="3" borderId="4" xfId="2" applyNumberFormat="1" applyFont="1" applyFill="1" applyBorder="1" applyAlignment="1" applyProtection="1">
      <alignment horizontal="center" vertical="center"/>
    </xf>
    <xf numFmtId="38" fontId="13" fillId="3" borderId="4" xfId="1" applyFont="1" applyFill="1" applyBorder="1" applyAlignment="1" applyProtection="1">
      <alignment horizontal="center" vertical="center"/>
    </xf>
    <xf numFmtId="10" fontId="13" fillId="3" borderId="4" xfId="2" applyNumberFormat="1" applyFont="1" applyFill="1" applyBorder="1" applyAlignment="1" applyProtection="1">
      <alignment horizontal="center" vertical="center" wrapText="1"/>
    </xf>
    <xf numFmtId="38" fontId="13" fillId="3" borderId="4" xfId="1" applyFont="1" applyFill="1" applyBorder="1" applyAlignment="1" applyProtection="1">
      <alignment horizontal="center" vertical="center" wrapText="1"/>
    </xf>
    <xf numFmtId="10" fontId="13" fillId="3" borderId="6" xfId="2" applyNumberFormat="1" applyFont="1" applyFill="1" applyBorder="1" applyAlignment="1" applyProtection="1">
      <alignment horizontal="center" vertical="center"/>
    </xf>
    <xf numFmtId="38" fontId="13" fillId="3" borderId="6" xfId="1" applyFont="1" applyFill="1" applyBorder="1" applyAlignment="1" applyProtection="1">
      <alignment horizontal="center" vertical="center"/>
    </xf>
    <xf numFmtId="0" fontId="13" fillId="2" borderId="87" xfId="0" applyFont="1" applyFill="1" applyBorder="1" applyAlignment="1" applyProtection="1">
      <alignment horizontal="center" vertical="center"/>
      <protection locked="0"/>
    </xf>
    <xf numFmtId="0" fontId="13" fillId="2" borderId="141" xfId="0" applyFont="1" applyFill="1" applyBorder="1" applyAlignment="1" applyProtection="1">
      <alignment horizontal="center" vertical="center"/>
      <protection locked="0"/>
    </xf>
    <xf numFmtId="38" fontId="13" fillId="17" borderId="7" xfId="1" applyFont="1" applyFill="1" applyBorder="1" applyAlignment="1" applyProtection="1">
      <alignment horizontal="right" vertical="center"/>
    </xf>
    <xf numFmtId="38" fontId="13" fillId="17" borderId="8" xfId="1" applyFont="1" applyFill="1" applyBorder="1" applyAlignment="1" applyProtection="1">
      <alignment horizontal="right" vertical="center"/>
    </xf>
    <xf numFmtId="38" fontId="13" fillId="17" borderId="13" xfId="1" applyFont="1" applyFill="1" applyBorder="1" applyAlignment="1" applyProtection="1">
      <alignment horizontal="right" vertical="center"/>
    </xf>
    <xf numFmtId="0" fontId="25" fillId="0" borderId="45" xfId="0" applyFont="1" applyFill="1" applyBorder="1" applyAlignment="1" applyProtection="1">
      <alignment horizontal="center" vertical="center" shrinkToFit="1"/>
    </xf>
    <xf numFmtId="0" fontId="25" fillId="0" borderId="46" xfId="0" applyFont="1" applyFill="1" applyBorder="1" applyAlignment="1" applyProtection="1">
      <alignment horizontal="center" vertical="center" shrinkToFit="1"/>
    </xf>
    <xf numFmtId="0" fontId="25" fillId="0" borderId="47" xfId="0" applyFont="1" applyFill="1" applyBorder="1" applyAlignment="1" applyProtection="1">
      <alignment horizontal="center" vertical="center" shrinkToFit="1"/>
    </xf>
    <xf numFmtId="0" fontId="16" fillId="0" borderId="0" xfId="0" applyFont="1" applyFill="1" applyBorder="1" applyAlignment="1" applyProtection="1">
      <alignment horizontal="left" vertical="center" wrapText="1"/>
    </xf>
    <xf numFmtId="0" fontId="16" fillId="0" borderId="11"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13" xfId="0" applyFont="1" applyFill="1" applyBorder="1" applyAlignment="1" applyProtection="1">
      <alignment horizontal="left" vertical="center" wrapText="1"/>
    </xf>
    <xf numFmtId="0" fontId="16" fillId="0" borderId="25"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3" fillId="2" borderId="95" xfId="0" applyFont="1" applyFill="1" applyBorder="1" applyAlignment="1" applyProtection="1">
      <alignment horizontal="center" vertical="center" wrapText="1" shrinkToFit="1"/>
    </xf>
    <xf numFmtId="0" fontId="13" fillId="2" borderId="96" xfId="0" applyFont="1" applyFill="1" applyBorder="1" applyAlignment="1" applyProtection="1">
      <alignment horizontal="center" vertical="center" wrapText="1" shrinkToFit="1"/>
    </xf>
    <xf numFmtId="0" fontId="15" fillId="17" borderId="21" xfId="0" applyFont="1" applyFill="1" applyBorder="1" applyAlignment="1" applyProtection="1">
      <alignment horizontal="center" vertical="center"/>
    </xf>
    <xf numFmtId="0" fontId="15" fillId="17" borderId="6" xfId="0" applyFont="1" applyFill="1" applyBorder="1" applyAlignment="1" applyProtection="1">
      <alignment horizontal="center" vertical="center"/>
    </xf>
    <xf numFmtId="38" fontId="13" fillId="0" borderId="186" xfId="6" applyFont="1" applyBorder="1" applyAlignment="1" applyProtection="1">
      <alignment horizontal="right" vertical="center" shrinkToFit="1"/>
      <protection hidden="1"/>
    </xf>
    <xf numFmtId="38" fontId="13" fillId="0" borderId="7" xfId="9" applyNumberFormat="1" applyFont="1" applyBorder="1" applyAlignment="1" applyProtection="1">
      <alignment horizontal="right" vertical="center" shrinkToFit="1"/>
    </xf>
    <xf numFmtId="0" fontId="13" fillId="0" borderId="8" xfId="9" applyFont="1" applyBorder="1" applyAlignment="1" applyProtection="1">
      <alignment horizontal="right" vertical="center" shrinkToFit="1"/>
    </xf>
    <xf numFmtId="0" fontId="13" fillId="0" borderId="13" xfId="9" applyFont="1" applyBorder="1" applyAlignment="1" applyProtection="1">
      <alignment horizontal="right" vertical="center" shrinkToFit="1"/>
    </xf>
    <xf numFmtId="181" fontId="32" fillId="4" borderId="7" xfId="9" applyNumberFormat="1" applyFont="1" applyFill="1" applyBorder="1" applyAlignment="1" applyProtection="1">
      <alignment horizontal="left" vertical="center"/>
    </xf>
    <xf numFmtId="181" fontId="32" fillId="4" borderId="8" xfId="9" applyNumberFormat="1" applyFont="1" applyFill="1" applyBorder="1" applyAlignment="1" applyProtection="1">
      <alignment horizontal="left" vertical="center"/>
    </xf>
    <xf numFmtId="181" fontId="32" fillId="4" borderId="12" xfId="9" applyNumberFormat="1" applyFont="1" applyFill="1" applyBorder="1" applyAlignment="1" applyProtection="1">
      <alignment horizontal="left" vertical="center"/>
    </xf>
    <xf numFmtId="181" fontId="32" fillId="4" borderId="1" xfId="9" applyNumberFormat="1" applyFont="1" applyFill="1" applyBorder="1" applyAlignment="1" applyProtection="1">
      <alignment horizontal="left" vertical="center"/>
    </xf>
    <xf numFmtId="38" fontId="13" fillId="0" borderId="25" xfId="9" applyNumberFormat="1" applyFont="1" applyBorder="1" applyAlignment="1" applyProtection="1">
      <alignment horizontal="right" vertical="center" shrinkToFit="1"/>
    </xf>
    <xf numFmtId="0" fontId="13" fillId="0" borderId="0" xfId="9" applyFont="1" applyBorder="1" applyAlignment="1" applyProtection="1">
      <alignment horizontal="right" vertical="center" shrinkToFit="1"/>
    </xf>
    <xf numFmtId="0" fontId="13" fillId="0" borderId="11" xfId="9" applyFont="1" applyBorder="1" applyAlignment="1" applyProtection="1">
      <alignment horizontal="right" vertical="center" shrinkToFit="1"/>
    </xf>
    <xf numFmtId="38" fontId="13" fillId="0" borderId="86" xfId="6" applyFont="1" applyBorder="1" applyAlignment="1" applyProtection="1">
      <alignment horizontal="right" vertical="center" shrinkToFit="1"/>
      <protection hidden="1"/>
    </xf>
    <xf numFmtId="38" fontId="13" fillId="0" borderId="37" xfId="6" applyFont="1" applyBorder="1" applyAlignment="1" applyProtection="1">
      <alignment horizontal="right" vertical="center" shrinkToFit="1"/>
      <protection hidden="1"/>
    </xf>
    <xf numFmtId="38" fontId="13" fillId="0" borderId="38" xfId="6" applyFont="1" applyBorder="1" applyAlignment="1" applyProtection="1">
      <alignment horizontal="right" vertical="center" shrinkToFit="1"/>
      <protection hidden="1"/>
    </xf>
    <xf numFmtId="38" fontId="13" fillId="0" borderId="184" xfId="6" applyFont="1" applyBorder="1" applyAlignment="1" applyProtection="1">
      <alignment horizontal="right" vertical="center" shrinkToFit="1"/>
      <protection hidden="1"/>
    </xf>
    <xf numFmtId="38" fontId="13" fillId="19" borderId="131" xfId="9" applyNumberFormat="1" applyFont="1" applyFill="1" applyBorder="1" applyAlignment="1" applyProtection="1">
      <alignment horizontal="right" vertical="center" shrinkToFit="1"/>
    </xf>
    <xf numFmtId="0" fontId="13" fillId="19" borderId="46" xfId="9" applyFont="1" applyFill="1" applyBorder="1" applyAlignment="1" applyProtection="1">
      <alignment horizontal="right" vertical="center" shrinkToFit="1"/>
    </xf>
    <xf numFmtId="0" fontId="13" fillId="19" borderId="159" xfId="9" applyFont="1" applyFill="1" applyBorder="1" applyAlignment="1" applyProtection="1">
      <alignment horizontal="right" vertical="center" shrinkToFit="1"/>
    </xf>
    <xf numFmtId="38" fontId="13" fillId="19" borderId="185" xfId="6" applyFont="1" applyFill="1" applyBorder="1" applyAlignment="1" applyProtection="1">
      <alignment horizontal="right" vertical="center" shrinkToFit="1"/>
      <protection hidden="1"/>
    </xf>
    <xf numFmtId="38" fontId="13" fillId="0" borderId="83" xfId="6" applyFont="1" applyBorder="1" applyAlignment="1" applyProtection="1">
      <alignment horizontal="right" vertical="center" shrinkToFit="1"/>
      <protection hidden="1"/>
    </xf>
    <xf numFmtId="38" fontId="13" fillId="0" borderId="84" xfId="6" applyFont="1" applyBorder="1" applyAlignment="1" applyProtection="1">
      <alignment horizontal="right" vertical="center" shrinkToFit="1"/>
      <protection hidden="1"/>
    </xf>
    <xf numFmtId="38" fontId="13" fillId="0" borderId="85" xfId="6" applyFont="1" applyBorder="1" applyAlignment="1" applyProtection="1">
      <alignment horizontal="right" vertical="center" shrinkToFit="1"/>
      <protection hidden="1"/>
    </xf>
    <xf numFmtId="38" fontId="13" fillId="0" borderId="183" xfId="6" applyFont="1" applyBorder="1" applyAlignment="1" applyProtection="1">
      <alignment horizontal="right" vertical="center" shrinkToFit="1"/>
      <protection hidden="1"/>
    </xf>
    <xf numFmtId="181" fontId="32" fillId="8" borderId="14" xfId="9" applyNumberFormat="1" applyFont="1" applyFill="1" applyBorder="1" applyAlignment="1" applyProtection="1">
      <alignment horizontal="left" vertical="center"/>
    </xf>
    <xf numFmtId="181" fontId="32" fillId="8" borderId="15" xfId="9" applyNumberFormat="1" applyFont="1" applyFill="1" applyBorder="1" applyAlignment="1" applyProtection="1">
      <alignment horizontal="left" vertical="center"/>
    </xf>
    <xf numFmtId="181" fontId="32" fillId="8" borderId="32" xfId="9" applyNumberFormat="1" applyFont="1" applyFill="1" applyBorder="1" applyAlignment="1" applyProtection="1">
      <alignment horizontal="left" vertical="center"/>
    </xf>
    <xf numFmtId="181" fontId="32" fillId="8" borderId="33" xfId="9" applyNumberFormat="1" applyFont="1" applyFill="1" applyBorder="1" applyAlignment="1" applyProtection="1">
      <alignment horizontal="left" vertical="center"/>
    </xf>
    <xf numFmtId="181" fontId="32" fillId="4" borderId="12" xfId="9" applyNumberFormat="1" applyFont="1" applyFill="1" applyBorder="1" applyAlignment="1" applyProtection="1">
      <alignment horizontal="left" vertical="center" shrinkToFit="1"/>
    </xf>
    <xf numFmtId="181" fontId="32" fillId="4" borderId="1" xfId="9" applyNumberFormat="1" applyFont="1" applyFill="1" applyBorder="1" applyAlignment="1" applyProtection="1">
      <alignment horizontal="left" vertical="center" shrinkToFit="1"/>
    </xf>
    <xf numFmtId="0" fontId="31" fillId="4" borderId="167" xfId="9" applyFont="1" applyFill="1" applyBorder="1" applyAlignment="1" applyProtection="1">
      <alignment horizontal="center" vertical="center" textRotation="255"/>
    </xf>
    <xf numFmtId="10" fontId="13" fillId="3" borderId="119" xfId="8" applyNumberFormat="1" applyFont="1" applyFill="1" applyBorder="1" applyAlignment="1" applyProtection="1">
      <alignment horizontal="center" vertical="center"/>
    </xf>
    <xf numFmtId="10" fontId="13" fillId="3" borderId="153" xfId="8" applyNumberFormat="1" applyFont="1" applyFill="1" applyBorder="1" applyAlignment="1" applyProtection="1">
      <alignment horizontal="center" vertical="center"/>
    </xf>
    <xf numFmtId="10" fontId="13" fillId="3" borderId="175" xfId="8" applyNumberFormat="1" applyFont="1" applyFill="1" applyBorder="1" applyAlignment="1" applyProtection="1">
      <alignment horizontal="center" vertical="center"/>
    </xf>
    <xf numFmtId="10" fontId="13" fillId="3" borderId="176" xfId="8" applyNumberFormat="1" applyFont="1" applyFill="1" applyBorder="1" applyAlignment="1" applyProtection="1">
      <alignment horizontal="center" vertical="center"/>
    </xf>
    <xf numFmtId="0" fontId="13" fillId="3" borderId="177" xfId="9" applyFont="1" applyFill="1" applyBorder="1" applyAlignment="1" applyProtection="1">
      <alignment horizontal="center" vertical="center"/>
    </xf>
    <xf numFmtId="0" fontId="13" fillId="3" borderId="178" xfId="9" applyFont="1" applyFill="1" applyBorder="1" applyAlignment="1" applyProtection="1">
      <alignment horizontal="center" vertical="center"/>
    </xf>
    <xf numFmtId="10" fontId="13" fillId="3" borderId="179" xfId="8" applyNumberFormat="1" applyFont="1" applyFill="1" applyBorder="1" applyAlignment="1" applyProtection="1">
      <alignment horizontal="center" vertical="center"/>
    </xf>
    <xf numFmtId="10" fontId="13" fillId="3" borderId="180" xfId="8" applyNumberFormat="1" applyFont="1" applyFill="1" applyBorder="1" applyAlignment="1" applyProtection="1">
      <alignment horizontal="center" vertical="center"/>
    </xf>
    <xf numFmtId="0" fontId="31" fillId="4" borderId="21" xfId="9" applyFont="1" applyFill="1" applyBorder="1" applyAlignment="1" applyProtection="1">
      <alignment horizontal="center" vertical="center" textRotation="255"/>
    </xf>
    <xf numFmtId="0" fontId="38" fillId="4" borderId="86" xfId="9" applyFont="1" applyFill="1" applyBorder="1" applyAlignment="1" applyProtection="1">
      <alignment horizontal="left" vertical="center" shrinkToFit="1"/>
    </xf>
    <xf numFmtId="0" fontId="38" fillId="4" borderId="37" xfId="9" applyFont="1" applyFill="1" applyBorder="1" applyAlignment="1" applyProtection="1">
      <alignment horizontal="left" vertical="center" shrinkToFit="1"/>
    </xf>
    <xf numFmtId="0" fontId="38" fillId="4" borderId="38" xfId="9" applyFont="1" applyFill="1" applyBorder="1" applyAlignment="1" applyProtection="1">
      <alignment horizontal="left" vertical="center" shrinkToFit="1"/>
    </xf>
    <xf numFmtId="38" fontId="13" fillId="0" borderId="42" xfId="9" applyNumberFormat="1" applyFont="1" applyBorder="1" applyAlignment="1" applyProtection="1">
      <alignment horizontal="right" vertical="center" shrinkToFit="1"/>
    </xf>
    <xf numFmtId="0" fontId="13" fillId="0" borderId="43" xfId="9" applyFont="1" applyBorder="1" applyAlignment="1" applyProtection="1">
      <alignment horizontal="right" vertical="center" shrinkToFit="1"/>
    </xf>
    <xf numFmtId="0" fontId="13" fillId="0" borderId="44" xfId="9" applyFont="1" applyBorder="1" applyAlignment="1" applyProtection="1">
      <alignment horizontal="right" vertical="center" shrinkToFit="1"/>
    </xf>
    <xf numFmtId="38" fontId="13" fillId="0" borderId="42" xfId="6" applyFont="1" applyBorder="1" applyAlignment="1" applyProtection="1">
      <alignment horizontal="right" vertical="center" shrinkToFit="1"/>
      <protection hidden="1"/>
    </xf>
    <xf numFmtId="38" fontId="13" fillId="0" borderId="43" xfId="6" applyFont="1" applyBorder="1" applyAlignment="1" applyProtection="1">
      <alignment horizontal="right" vertical="center" shrinkToFit="1"/>
      <protection hidden="1"/>
    </xf>
    <xf numFmtId="38" fontId="13" fillId="0" borderId="44" xfId="6" applyFont="1" applyBorder="1" applyAlignment="1" applyProtection="1">
      <alignment horizontal="right" vertical="center" shrinkToFit="1"/>
      <protection hidden="1"/>
    </xf>
    <xf numFmtId="38" fontId="13" fillId="0" borderId="208" xfId="6" applyFont="1" applyBorder="1" applyAlignment="1" applyProtection="1">
      <alignment horizontal="right" vertical="center" shrinkToFit="1"/>
      <protection hidden="1"/>
    </xf>
    <xf numFmtId="0" fontId="38" fillId="4" borderId="7" xfId="9" applyFont="1" applyFill="1" applyBorder="1" applyAlignment="1" applyProtection="1">
      <alignment horizontal="left" vertical="center" shrinkToFit="1"/>
    </xf>
    <xf numFmtId="0" fontId="38" fillId="4" borderId="8" xfId="9" applyFont="1" applyFill="1" applyBorder="1" applyAlignment="1" applyProtection="1">
      <alignment horizontal="left" vertical="center" shrinkToFit="1"/>
    </xf>
    <xf numFmtId="0" fontId="38" fillId="4" borderId="13" xfId="9" applyFont="1" applyFill="1" applyBorder="1" applyAlignment="1" applyProtection="1">
      <alignment horizontal="left" vertical="center" shrinkToFit="1"/>
    </xf>
    <xf numFmtId="38" fontId="13" fillId="0" borderId="7" xfId="6" applyFont="1" applyBorder="1" applyAlignment="1" applyProtection="1">
      <alignment horizontal="right" vertical="center" shrinkToFit="1"/>
      <protection hidden="1"/>
    </xf>
    <xf numFmtId="38" fontId="13" fillId="0" borderId="8" xfId="6" applyFont="1" applyBorder="1" applyAlignment="1" applyProtection="1">
      <alignment horizontal="right" vertical="center" shrinkToFit="1"/>
      <protection hidden="1"/>
    </xf>
    <xf numFmtId="38" fontId="13" fillId="0" borderId="13" xfId="6" applyFont="1" applyBorder="1" applyAlignment="1" applyProtection="1">
      <alignment horizontal="right" vertical="center" shrinkToFit="1"/>
      <protection hidden="1"/>
    </xf>
    <xf numFmtId="38" fontId="13" fillId="0" borderId="194" xfId="6" applyFont="1" applyBorder="1" applyAlignment="1" applyProtection="1">
      <alignment horizontal="right" vertical="center" shrinkToFit="1"/>
      <protection hidden="1"/>
    </xf>
    <xf numFmtId="181" fontId="32" fillId="8" borderId="94" xfId="9" applyNumberFormat="1" applyFont="1" applyFill="1" applyBorder="1" applyAlignment="1" applyProtection="1">
      <alignment horizontal="left" vertical="center" indent="2"/>
    </xf>
    <xf numFmtId="181" fontId="32" fillId="8" borderId="164" xfId="9" applyNumberFormat="1" applyFont="1" applyFill="1" applyBorder="1" applyAlignment="1" applyProtection="1">
      <alignment horizontal="left" vertical="center" indent="2"/>
    </xf>
    <xf numFmtId="181" fontId="32" fillId="8" borderId="26" xfId="9" applyNumberFormat="1" applyFont="1" applyFill="1" applyBorder="1" applyAlignment="1" applyProtection="1">
      <alignment horizontal="left" vertical="center" indent="2"/>
    </xf>
    <xf numFmtId="181" fontId="32" fillId="8" borderId="27" xfId="9" applyNumberFormat="1" applyFont="1" applyFill="1" applyBorder="1" applyAlignment="1" applyProtection="1">
      <alignment horizontal="left" vertical="center" indent="2"/>
    </xf>
    <xf numFmtId="181" fontId="32" fillId="8" borderId="28" xfId="9" applyNumberFormat="1" applyFont="1" applyFill="1" applyBorder="1" applyAlignment="1" applyProtection="1">
      <alignment horizontal="left" vertical="center" indent="2"/>
    </xf>
    <xf numFmtId="0" fontId="32" fillId="4" borderId="7" xfId="9" applyFont="1" applyFill="1" applyBorder="1" applyAlignment="1" applyProtection="1">
      <alignment horizontal="center" vertical="center" shrinkToFit="1"/>
    </xf>
    <xf numFmtId="0" fontId="32" fillId="4" borderId="8" xfId="9" applyFont="1" applyFill="1" applyBorder="1" applyAlignment="1" applyProtection="1">
      <alignment horizontal="center" vertical="center" shrinkToFit="1"/>
    </xf>
    <xf numFmtId="0" fontId="32" fillId="4" borderId="13" xfId="9" applyFont="1" applyFill="1" applyBorder="1" applyAlignment="1" applyProtection="1">
      <alignment horizontal="center" vertical="center" shrinkToFit="1"/>
    </xf>
    <xf numFmtId="0" fontId="31" fillId="4" borderId="21" xfId="0" applyFont="1" applyFill="1" applyBorder="1" applyAlignment="1" applyProtection="1">
      <alignment horizontal="center" vertical="top" textRotation="255" shrinkToFit="1"/>
    </xf>
    <xf numFmtId="0" fontId="31" fillId="4" borderId="10" xfId="0" applyFont="1" applyFill="1" applyBorder="1" applyAlignment="1" applyProtection="1">
      <alignment horizontal="center" vertical="top" textRotation="255" shrinkToFit="1"/>
    </xf>
    <xf numFmtId="0" fontId="31" fillId="4" borderId="6" xfId="0" applyFont="1" applyFill="1" applyBorder="1" applyAlignment="1" applyProtection="1">
      <alignment horizontal="center" vertical="top" textRotation="255" shrinkToFit="1"/>
    </xf>
    <xf numFmtId="0" fontId="32" fillId="0" borderId="162" xfId="9" applyFont="1" applyBorder="1" applyAlignment="1" applyProtection="1">
      <alignment horizontal="left" vertical="center" shrinkToFit="1"/>
    </xf>
    <xf numFmtId="0" fontId="32" fillId="0" borderId="112" xfId="9" applyFont="1" applyBorder="1" applyAlignment="1" applyProtection="1">
      <alignment horizontal="left" vertical="center" shrinkToFit="1"/>
    </xf>
    <xf numFmtId="0" fontId="32" fillId="0" borderId="163" xfId="9" applyFont="1" applyBorder="1" applyAlignment="1" applyProtection="1">
      <alignment horizontal="left" vertical="center" shrinkToFit="1"/>
    </xf>
    <xf numFmtId="0" fontId="32" fillId="4" borderId="83" xfId="9" applyFont="1" applyFill="1" applyBorder="1" applyAlignment="1" applyProtection="1">
      <alignment horizontal="left" vertical="center" shrinkToFit="1"/>
    </xf>
    <xf numFmtId="0" fontId="32" fillId="4" borderId="84" xfId="9" applyFont="1" applyFill="1" applyBorder="1" applyAlignment="1" applyProtection="1">
      <alignment horizontal="left" vertical="center" shrinkToFit="1"/>
    </xf>
    <xf numFmtId="0" fontId="32" fillId="4" borderId="85" xfId="9" applyFont="1" applyFill="1" applyBorder="1" applyAlignment="1" applyProtection="1">
      <alignment horizontal="left" vertical="center" shrinkToFit="1"/>
    </xf>
    <xf numFmtId="38" fontId="13" fillId="19" borderId="83" xfId="9" applyNumberFormat="1" applyFont="1" applyFill="1" applyBorder="1" applyAlignment="1" applyProtection="1">
      <alignment horizontal="right" vertical="center" shrinkToFit="1"/>
    </xf>
    <xf numFmtId="0" fontId="13" fillId="19" borderId="84" xfId="9" applyFont="1" applyFill="1" applyBorder="1" applyAlignment="1" applyProtection="1">
      <alignment horizontal="right" vertical="center" shrinkToFit="1"/>
    </xf>
    <xf numFmtId="0" fontId="13" fillId="19" borderId="85" xfId="9" applyFont="1" applyFill="1" applyBorder="1" applyAlignment="1" applyProtection="1">
      <alignment horizontal="right" vertical="center" shrinkToFit="1"/>
    </xf>
    <xf numFmtId="38" fontId="13" fillId="19" borderId="83" xfId="6" applyFont="1" applyFill="1" applyBorder="1" applyAlignment="1" applyProtection="1">
      <alignment horizontal="right" vertical="center" shrinkToFit="1"/>
      <protection hidden="1"/>
    </xf>
    <xf numFmtId="38" fontId="13" fillId="19" borderId="84" xfId="6" applyFont="1" applyFill="1" applyBorder="1" applyAlignment="1" applyProtection="1">
      <alignment horizontal="right" vertical="center" shrinkToFit="1"/>
      <protection hidden="1"/>
    </xf>
    <xf numFmtId="38" fontId="13" fillId="19" borderId="85" xfId="6" applyFont="1" applyFill="1" applyBorder="1" applyAlignment="1" applyProtection="1">
      <alignment horizontal="right" vertical="center" shrinkToFit="1"/>
      <protection hidden="1"/>
    </xf>
    <xf numFmtId="38" fontId="13" fillId="19" borderId="183" xfId="6" applyFont="1" applyFill="1" applyBorder="1" applyAlignment="1" applyProtection="1">
      <alignment horizontal="right" vertical="center" shrinkToFit="1"/>
      <protection hidden="1"/>
    </xf>
    <xf numFmtId="0" fontId="34" fillId="0" borderId="8" xfId="9" applyFont="1" applyBorder="1" applyAlignment="1" applyProtection="1">
      <alignment horizontal="center" vertical="center"/>
    </xf>
    <xf numFmtId="181" fontId="31" fillId="4" borderId="4" xfId="9" applyNumberFormat="1" applyFont="1" applyFill="1" applyBorder="1" applyAlignment="1" applyProtection="1">
      <alignment horizontal="center" vertical="top" textRotation="255"/>
    </xf>
    <xf numFmtId="181" fontId="32" fillId="4" borderId="3" xfId="9" applyNumberFormat="1" applyFont="1" applyFill="1" applyBorder="1" applyAlignment="1" applyProtection="1">
      <alignment horizontal="left" vertical="center"/>
    </xf>
    <xf numFmtId="0" fontId="13" fillId="3" borderId="211" xfId="9" applyFont="1" applyFill="1" applyBorder="1" applyAlignment="1" applyProtection="1">
      <alignment horizontal="center" vertical="center"/>
    </xf>
    <xf numFmtId="0" fontId="13" fillId="3" borderId="212" xfId="9" applyFont="1" applyFill="1" applyBorder="1" applyAlignment="1" applyProtection="1">
      <alignment horizontal="center" vertical="center"/>
    </xf>
    <xf numFmtId="0" fontId="38" fillId="4" borderId="131" xfId="9" applyFont="1" applyFill="1" applyBorder="1" applyAlignment="1" applyProtection="1">
      <alignment horizontal="left" vertical="center" shrinkToFit="1"/>
    </xf>
    <xf numFmtId="0" fontId="38" fillId="4" borderId="46" xfId="9" applyFont="1" applyFill="1" applyBorder="1" applyAlignment="1" applyProtection="1">
      <alignment horizontal="left" vertical="center" shrinkToFit="1"/>
    </xf>
    <xf numFmtId="0" fontId="38" fillId="4" borderId="159" xfId="9" applyFont="1" applyFill="1" applyBorder="1" applyAlignment="1" applyProtection="1">
      <alignment horizontal="left" vertical="center" shrinkToFit="1"/>
    </xf>
    <xf numFmtId="38" fontId="13" fillId="0" borderId="4" xfId="6" applyFont="1" applyFill="1" applyBorder="1" applyAlignment="1" applyProtection="1">
      <alignment horizontal="right" vertical="center"/>
    </xf>
    <xf numFmtId="0" fontId="38" fillId="4" borderId="83" xfId="9" applyFont="1" applyFill="1" applyBorder="1" applyAlignment="1" applyProtection="1">
      <alignment horizontal="left" vertical="center" shrinkToFit="1"/>
    </xf>
    <xf numFmtId="0" fontId="38" fillId="4" borderId="84" xfId="9" applyFont="1" applyFill="1" applyBorder="1" applyAlignment="1" applyProtection="1">
      <alignment horizontal="left" vertical="center" shrinkToFit="1"/>
    </xf>
    <xf numFmtId="0" fontId="38" fillId="4" borderId="85" xfId="9" applyFont="1" applyFill="1" applyBorder="1" applyAlignment="1" applyProtection="1">
      <alignment horizontal="left" vertical="center" shrinkToFit="1"/>
    </xf>
    <xf numFmtId="38" fontId="13" fillId="0" borderId="83" xfId="9" applyNumberFormat="1" applyFont="1" applyBorder="1" applyAlignment="1" applyProtection="1">
      <alignment horizontal="right" vertical="center" shrinkToFit="1"/>
    </xf>
    <xf numFmtId="0" fontId="13" fillId="0" borderId="84" xfId="9" applyFont="1" applyBorder="1" applyAlignment="1" applyProtection="1">
      <alignment horizontal="right" vertical="center" shrinkToFit="1"/>
    </xf>
    <xf numFmtId="0" fontId="13" fillId="0" borderId="85" xfId="9" applyFont="1" applyBorder="1" applyAlignment="1" applyProtection="1">
      <alignment horizontal="right" vertical="center" shrinkToFit="1"/>
    </xf>
    <xf numFmtId="0" fontId="69" fillId="0" borderId="133" xfId="0" applyFont="1" applyFill="1" applyBorder="1" applyAlignment="1" applyProtection="1">
      <alignment horizontal="center" vertical="center" shrinkToFit="1"/>
    </xf>
    <xf numFmtId="0" fontId="69" fillId="0" borderId="134" xfId="0" applyFont="1" applyFill="1" applyBorder="1" applyAlignment="1" applyProtection="1">
      <alignment horizontal="center" vertical="center" shrinkToFit="1"/>
    </xf>
    <xf numFmtId="0" fontId="69" fillId="0" borderId="0" xfId="0" applyFont="1" applyFill="1" applyBorder="1" applyAlignment="1" applyProtection="1">
      <alignment horizontal="center" vertical="center" shrinkToFit="1"/>
    </xf>
    <xf numFmtId="0" fontId="69" fillId="0" borderId="136" xfId="0" applyFont="1" applyFill="1" applyBorder="1" applyAlignment="1" applyProtection="1">
      <alignment horizontal="center" vertical="center" shrinkToFit="1"/>
    </xf>
    <xf numFmtId="0" fontId="13" fillId="4" borderId="25" xfId="0" applyFont="1" applyFill="1" applyBorder="1" applyAlignment="1" applyProtection="1">
      <alignment horizontal="center" vertical="center" wrapText="1" shrinkToFit="1"/>
    </xf>
    <xf numFmtId="0" fontId="13" fillId="4" borderId="0" xfId="0" applyFont="1" applyFill="1" applyBorder="1" applyAlignment="1" applyProtection="1">
      <alignment horizontal="center" vertical="center" wrapText="1" shrinkToFit="1"/>
    </xf>
    <xf numFmtId="0" fontId="13" fillId="4" borderId="11" xfId="0" applyFont="1" applyFill="1" applyBorder="1" applyAlignment="1" applyProtection="1">
      <alignment horizontal="center" vertical="center" wrapText="1" shrinkToFit="1"/>
    </xf>
    <xf numFmtId="0" fontId="13" fillId="4" borderId="7" xfId="0" applyFont="1" applyFill="1" applyBorder="1" applyAlignment="1" applyProtection="1">
      <alignment horizontal="center" vertical="center" wrapText="1" shrinkToFit="1"/>
    </xf>
    <xf numFmtId="0" fontId="13" fillId="4" borderId="8" xfId="0" applyFont="1" applyFill="1" applyBorder="1" applyAlignment="1" applyProtection="1">
      <alignment horizontal="center" vertical="center" wrapText="1" shrinkToFit="1"/>
    </xf>
    <xf numFmtId="0" fontId="13" fillId="4" borderId="13" xfId="0" applyFont="1" applyFill="1" applyBorder="1" applyAlignment="1" applyProtection="1">
      <alignment horizontal="center" vertical="center" wrapText="1" shrinkToFit="1"/>
    </xf>
    <xf numFmtId="0" fontId="13" fillId="0" borderId="12" xfId="0" applyFont="1" applyBorder="1" applyAlignment="1" applyProtection="1">
      <alignment horizontal="left" vertical="center" shrinkToFit="1"/>
    </xf>
    <xf numFmtId="0" fontId="13" fillId="0" borderId="1" xfId="0" applyFont="1" applyBorder="1" applyAlignment="1" applyProtection="1">
      <alignment horizontal="left" vertical="center" shrinkToFit="1"/>
    </xf>
    <xf numFmtId="0" fontId="13" fillId="0" borderId="2" xfId="0" applyFont="1" applyBorder="1" applyAlignment="1" applyProtection="1">
      <alignment horizontal="left" vertical="center" shrinkToFit="1"/>
    </xf>
    <xf numFmtId="0" fontId="13" fillId="0" borderId="14" xfId="0" applyFont="1" applyBorder="1" applyAlignment="1" applyProtection="1">
      <alignment horizontal="left" vertical="center" shrinkToFit="1"/>
    </xf>
    <xf numFmtId="0" fontId="13" fillId="0" borderId="15" xfId="0" applyFont="1" applyBorder="1" applyAlignment="1" applyProtection="1">
      <alignment horizontal="left" vertical="center" shrinkToFit="1"/>
    </xf>
    <xf numFmtId="0" fontId="13" fillId="0" borderId="3" xfId="0" applyFont="1" applyBorder="1" applyAlignment="1" applyProtection="1">
      <alignment horizontal="left" vertical="center" shrinkToFit="1"/>
    </xf>
    <xf numFmtId="0" fontId="13" fillId="0" borderId="4" xfId="0" applyFont="1" applyBorder="1" applyAlignment="1" applyProtection="1">
      <alignment horizontal="left" vertical="center" wrapText="1"/>
    </xf>
    <xf numFmtId="38" fontId="13" fillId="0" borderId="4" xfId="1" applyFont="1" applyFill="1" applyBorder="1" applyAlignment="1" applyProtection="1">
      <alignment horizontal="left" vertical="top" wrapText="1" shrinkToFit="1"/>
      <protection locked="0"/>
    </xf>
    <xf numFmtId="0" fontId="13" fillId="0" borderId="12" xfId="0" applyFont="1" applyBorder="1" applyAlignment="1" applyProtection="1">
      <alignment horizontal="left" vertical="center"/>
    </xf>
    <xf numFmtId="0" fontId="13" fillId="0" borderId="1" xfId="0" applyFont="1" applyBorder="1" applyAlignment="1" applyProtection="1">
      <alignment horizontal="left" vertical="center"/>
    </xf>
    <xf numFmtId="0" fontId="13" fillId="0" borderId="2" xfId="0" applyFont="1" applyBorder="1" applyAlignment="1" applyProtection="1">
      <alignment horizontal="left" vertical="center"/>
    </xf>
    <xf numFmtId="38" fontId="13" fillId="0" borderId="5" xfId="1" applyFont="1" applyFill="1" applyBorder="1" applyAlignment="1" applyProtection="1">
      <alignment horizontal="left" vertical="center" shrinkToFit="1"/>
    </xf>
    <xf numFmtId="38" fontId="13" fillId="0" borderId="4" xfId="1" applyFont="1" applyFill="1" applyBorder="1" applyAlignment="1" applyProtection="1">
      <alignment horizontal="left" vertical="center" shrinkToFit="1"/>
    </xf>
    <xf numFmtId="0" fontId="13" fillId="4" borderId="5" xfId="0" applyFont="1" applyFill="1" applyBorder="1" applyAlignment="1" applyProtection="1">
      <alignment horizontal="center" vertical="center"/>
    </xf>
    <xf numFmtId="38" fontId="13" fillId="0" borderId="14" xfId="1" applyFont="1" applyFill="1" applyBorder="1" applyAlignment="1" applyProtection="1">
      <alignment horizontal="left" vertical="center" shrinkToFit="1"/>
      <protection locked="0"/>
    </xf>
    <xf numFmtId="38" fontId="13" fillId="0" borderId="15" xfId="1" applyFont="1" applyFill="1" applyBorder="1" applyAlignment="1" applyProtection="1">
      <alignment horizontal="left" vertical="center" shrinkToFit="1"/>
      <protection locked="0"/>
    </xf>
    <xf numFmtId="38" fontId="13" fillId="0" borderId="3" xfId="1" applyFont="1" applyFill="1" applyBorder="1" applyAlignment="1" applyProtection="1">
      <alignment horizontal="left" vertical="center" shrinkToFit="1"/>
      <protection locked="0"/>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3" fillId="0" borderId="31" xfId="0" applyFont="1" applyFill="1" applyBorder="1" applyAlignment="1" applyProtection="1">
      <alignment horizontal="left" vertical="center" wrapText="1"/>
    </xf>
    <xf numFmtId="0" fontId="13" fillId="4" borderId="4" xfId="0" applyFont="1" applyFill="1" applyBorder="1" applyAlignment="1" applyProtection="1">
      <alignment horizontal="center" vertical="center" textRotation="255" shrinkToFit="1"/>
    </xf>
    <xf numFmtId="0" fontId="13" fillId="2" borderId="12"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38" fontId="13" fillId="3" borderId="45" xfId="1" applyFont="1" applyFill="1" applyBorder="1" applyAlignment="1" applyProtection="1">
      <alignment horizontal="right" vertical="center"/>
    </xf>
    <xf numFmtId="38" fontId="13" fillId="3" borderId="47" xfId="1" applyFont="1" applyFill="1" applyBorder="1" applyAlignment="1" applyProtection="1">
      <alignment horizontal="right" vertical="center"/>
    </xf>
    <xf numFmtId="49" fontId="13" fillId="3" borderId="25" xfId="1" applyNumberFormat="1" applyFont="1" applyFill="1" applyBorder="1" applyAlignment="1" applyProtection="1">
      <alignment horizontal="center" vertical="center"/>
    </xf>
    <xf numFmtId="49" fontId="13" fillId="3" borderId="209" xfId="1" applyNumberFormat="1" applyFont="1" applyFill="1" applyBorder="1" applyAlignment="1" applyProtection="1">
      <alignment horizontal="center" vertical="center"/>
    </xf>
    <xf numFmtId="38" fontId="13" fillId="2" borderId="14" xfId="1" applyFont="1" applyFill="1" applyBorder="1" applyAlignment="1" applyProtection="1">
      <alignment horizontal="right" vertical="center"/>
    </xf>
    <xf numFmtId="38" fontId="13" fillId="2" borderId="15" xfId="1" applyFont="1" applyFill="1" applyBorder="1" applyAlignment="1" applyProtection="1">
      <alignment horizontal="right" vertical="center"/>
    </xf>
    <xf numFmtId="38" fontId="13" fillId="0" borderId="14" xfId="1" applyFont="1" applyFill="1" applyBorder="1" applyAlignment="1" applyProtection="1">
      <alignment horizontal="center" vertical="center" shrinkToFit="1"/>
    </xf>
    <xf numFmtId="38" fontId="13" fillId="0" borderId="15" xfId="1" applyFont="1" applyFill="1" applyBorder="1" applyAlignment="1" applyProtection="1">
      <alignment horizontal="center" vertical="center" shrinkToFit="1"/>
    </xf>
    <xf numFmtId="38" fontId="13" fillId="0" borderId="3" xfId="1" applyFont="1" applyFill="1" applyBorder="1" applyAlignment="1" applyProtection="1">
      <alignment horizontal="center" vertical="center" shrinkToFit="1"/>
    </xf>
    <xf numFmtId="38" fontId="13" fillId="0" borderId="14" xfId="1" applyFont="1" applyFill="1" applyBorder="1" applyAlignment="1" applyProtection="1">
      <alignment horizontal="left" vertical="center" shrinkToFit="1"/>
    </xf>
    <xf numFmtId="38" fontId="13" fillId="0" borderId="15" xfId="1" applyFont="1" applyFill="1" applyBorder="1" applyAlignment="1" applyProtection="1">
      <alignment horizontal="left" vertical="center" shrinkToFit="1"/>
    </xf>
    <xf numFmtId="38" fontId="13" fillId="0" borderId="3" xfId="1" applyFont="1" applyFill="1" applyBorder="1" applyAlignment="1" applyProtection="1">
      <alignment horizontal="left" vertical="center" shrinkToFit="1"/>
    </xf>
    <xf numFmtId="0" fontId="13" fillId="3" borderId="210" xfId="0" applyFont="1" applyFill="1" applyBorder="1" applyAlignment="1" applyProtection="1">
      <alignment horizontal="left" vertical="center"/>
    </xf>
    <xf numFmtId="0" fontId="13" fillId="3" borderId="11" xfId="0" applyFont="1" applyFill="1" applyBorder="1" applyAlignment="1" applyProtection="1">
      <alignment horizontal="left" vertical="center"/>
    </xf>
    <xf numFmtId="38" fontId="13" fillId="3" borderId="14" xfId="1" applyFont="1" applyFill="1" applyBorder="1" applyAlignment="1" applyProtection="1">
      <alignment horizontal="center" vertical="center"/>
    </xf>
    <xf numFmtId="38" fontId="13" fillId="3" borderId="3" xfId="1" applyFont="1" applyFill="1" applyBorder="1" applyAlignment="1" applyProtection="1">
      <alignment horizontal="center" vertical="center"/>
    </xf>
    <xf numFmtId="38" fontId="13" fillId="3" borderId="12" xfId="1" applyFont="1" applyFill="1" applyBorder="1" applyAlignment="1" applyProtection="1">
      <alignment horizontal="center" vertical="center" wrapText="1"/>
    </xf>
    <xf numFmtId="38" fontId="13" fillId="3" borderId="1" xfId="1" applyFont="1" applyFill="1" applyBorder="1" applyAlignment="1" applyProtection="1">
      <alignment horizontal="center" vertical="center" wrapText="1"/>
    </xf>
    <xf numFmtId="38" fontId="13" fillId="3" borderId="2" xfId="1" applyFont="1" applyFill="1" applyBorder="1" applyAlignment="1" applyProtection="1">
      <alignment horizontal="center" vertical="center" wrapText="1"/>
    </xf>
    <xf numFmtId="38" fontId="13" fillId="3" borderId="25" xfId="1" applyFont="1" applyFill="1" applyBorder="1" applyAlignment="1" applyProtection="1">
      <alignment horizontal="center" vertical="center" wrapText="1"/>
    </xf>
    <xf numFmtId="38" fontId="13" fillId="3" borderId="0" xfId="1" applyFont="1" applyFill="1" applyBorder="1" applyAlignment="1" applyProtection="1">
      <alignment horizontal="center" vertical="center" wrapText="1"/>
    </xf>
    <xf numFmtId="38" fontId="13" fillId="3" borderId="11" xfId="1" applyFont="1" applyFill="1" applyBorder="1" applyAlignment="1" applyProtection="1">
      <alignment horizontal="center" vertical="center" wrapText="1"/>
    </xf>
    <xf numFmtId="38" fontId="24" fillId="3" borderId="25" xfId="1" applyFont="1" applyFill="1" applyBorder="1" applyAlignment="1" applyProtection="1">
      <alignment horizontal="left" vertical="center" wrapText="1" shrinkToFit="1"/>
    </xf>
    <xf numFmtId="38" fontId="24" fillId="3" borderId="0" xfId="1" applyFont="1" applyFill="1" applyBorder="1" applyAlignment="1" applyProtection="1">
      <alignment horizontal="left" vertical="center" wrapText="1" shrinkToFit="1"/>
    </xf>
    <xf numFmtId="38" fontId="24" fillId="3" borderId="11" xfId="1" applyFont="1" applyFill="1" applyBorder="1" applyAlignment="1" applyProtection="1">
      <alignment horizontal="left" vertical="center" wrapText="1" shrinkToFit="1"/>
    </xf>
    <xf numFmtId="38" fontId="24" fillId="3" borderId="7" xfId="1" applyFont="1" applyFill="1" applyBorder="1" applyAlignment="1" applyProtection="1">
      <alignment horizontal="left" vertical="center" wrapText="1" shrinkToFit="1"/>
    </xf>
    <xf numFmtId="38" fontId="24" fillId="3" borderId="8" xfId="1" applyFont="1" applyFill="1" applyBorder="1" applyAlignment="1" applyProtection="1">
      <alignment horizontal="left" vertical="center" wrapText="1" shrinkToFit="1"/>
    </xf>
    <xf numFmtId="38" fontId="24" fillId="3" borderId="13" xfId="1" applyFont="1" applyFill="1" applyBorder="1" applyAlignment="1" applyProtection="1">
      <alignment horizontal="left" vertical="center" wrapText="1" shrinkToFit="1"/>
    </xf>
    <xf numFmtId="0" fontId="13" fillId="0" borderId="4" xfId="0" applyFont="1" applyFill="1" applyBorder="1" applyAlignment="1" applyProtection="1">
      <alignment horizontal="left" vertical="center" wrapText="1"/>
      <protection locked="0"/>
    </xf>
    <xf numFmtId="0" fontId="13" fillId="4" borderId="4" xfId="0" applyFont="1" applyFill="1" applyBorder="1" applyAlignment="1" applyProtection="1">
      <alignment horizontal="center" vertical="center" textRotation="255" wrapText="1"/>
    </xf>
    <xf numFmtId="38" fontId="13" fillId="0" borderId="4" xfId="1" applyFont="1" applyFill="1" applyBorder="1" applyAlignment="1" applyProtection="1">
      <alignment horizontal="center" vertical="center" shrinkToFit="1"/>
      <protection locked="0"/>
    </xf>
    <xf numFmtId="0" fontId="13" fillId="0" borderId="29" xfId="0" applyFont="1" applyFill="1" applyBorder="1" applyAlignment="1" applyProtection="1">
      <alignment horizontal="left" vertical="center" shrinkToFit="1"/>
    </xf>
    <xf numFmtId="0" fontId="13" fillId="0" borderId="30" xfId="0" applyFont="1" applyFill="1" applyBorder="1" applyAlignment="1" applyProtection="1">
      <alignment horizontal="left" vertical="center" shrinkToFit="1"/>
    </xf>
    <xf numFmtId="0" fontId="13" fillId="0" borderId="31" xfId="0" applyFont="1" applyFill="1" applyBorder="1" applyAlignment="1" applyProtection="1">
      <alignment horizontal="left" vertical="center" shrinkToFit="1"/>
    </xf>
    <xf numFmtId="0" fontId="13" fillId="2" borderId="29" xfId="0" applyFont="1" applyFill="1" applyBorder="1" applyAlignment="1" applyProtection="1">
      <alignment horizontal="center" vertical="center"/>
    </xf>
    <xf numFmtId="0" fontId="13" fillId="0" borderId="4" xfId="0" applyFont="1" applyFill="1" applyBorder="1" applyAlignment="1" applyProtection="1">
      <alignment horizontal="center" vertical="center" wrapText="1" shrinkToFit="1"/>
    </xf>
    <xf numFmtId="0" fontId="12" fillId="0" borderId="0" xfId="0" applyFont="1" applyFill="1" applyBorder="1" applyAlignment="1" applyProtection="1">
      <alignment horizontal="left" vertical="top" wrapText="1"/>
    </xf>
    <xf numFmtId="0" fontId="13" fillId="17" borderId="12" xfId="0" applyFont="1" applyFill="1" applyBorder="1" applyAlignment="1" applyProtection="1">
      <alignment horizontal="center" vertical="center" shrinkToFit="1"/>
    </xf>
    <xf numFmtId="0" fontId="13" fillId="17" borderId="1" xfId="0" applyFont="1" applyFill="1" applyBorder="1" applyAlignment="1" applyProtection="1">
      <alignment horizontal="center" vertical="center" shrinkToFit="1"/>
    </xf>
    <xf numFmtId="0" fontId="13" fillId="17" borderId="2" xfId="0" applyFont="1" applyFill="1" applyBorder="1" applyAlignment="1" applyProtection="1">
      <alignment horizontal="center" vertical="center" shrinkToFit="1"/>
    </xf>
    <xf numFmtId="38" fontId="13" fillId="0" borderId="63" xfId="1" applyFont="1" applyFill="1" applyBorder="1" applyAlignment="1" applyProtection="1">
      <alignment horizontal="right" vertical="center"/>
      <protection locked="0"/>
    </xf>
    <xf numFmtId="0" fontId="13" fillId="2" borderId="174" xfId="0" applyFont="1" applyFill="1" applyBorder="1" applyAlignment="1" applyProtection="1">
      <alignment horizontal="center" vertical="center" shrinkToFit="1"/>
    </xf>
    <xf numFmtId="0" fontId="13" fillId="2" borderId="4" xfId="0" applyFont="1" applyFill="1" applyBorder="1" applyAlignment="1" applyProtection="1">
      <alignment horizontal="center" vertical="center" shrinkToFit="1"/>
    </xf>
    <xf numFmtId="38" fontId="13" fillId="3" borderId="165" xfId="1" applyFont="1" applyFill="1" applyBorder="1" applyAlignment="1" applyProtection="1">
      <alignment horizontal="right" vertical="center"/>
    </xf>
    <xf numFmtId="38" fontId="13" fillId="3" borderId="164" xfId="1" applyFont="1" applyFill="1" applyBorder="1" applyAlignment="1" applyProtection="1">
      <alignment horizontal="right" vertical="center"/>
    </xf>
    <xf numFmtId="38" fontId="13" fillId="3" borderId="120" xfId="1" applyFont="1" applyFill="1" applyBorder="1" applyAlignment="1" applyProtection="1">
      <alignment horizontal="right" vertical="center"/>
    </xf>
    <xf numFmtId="38" fontId="13" fillId="3" borderId="63" xfId="1" applyFont="1" applyFill="1" applyBorder="1" applyAlignment="1" applyProtection="1">
      <alignment horizontal="right" vertical="center"/>
    </xf>
    <xf numFmtId="0" fontId="13" fillId="2" borderId="174" xfId="0" applyFont="1" applyFill="1" applyBorder="1" applyAlignment="1" applyProtection="1">
      <alignment horizontal="left" vertical="center" wrapText="1" shrinkToFit="1"/>
    </xf>
    <xf numFmtId="0" fontId="13" fillId="2" borderId="4" xfId="0" applyFont="1" applyFill="1" applyBorder="1" applyAlignment="1" applyProtection="1">
      <alignment horizontal="left" vertical="center" wrapText="1" shrinkToFit="1"/>
    </xf>
    <xf numFmtId="38" fontId="13" fillId="0" borderId="51" xfId="1" applyFont="1" applyFill="1" applyBorder="1" applyAlignment="1" applyProtection="1">
      <alignment horizontal="right" vertical="center"/>
      <protection locked="0"/>
    </xf>
    <xf numFmtId="0" fontId="13" fillId="0" borderId="0" xfId="0" applyFont="1" applyFill="1" applyAlignment="1" applyProtection="1">
      <alignment horizontal="left" vertical="center" shrinkToFit="1"/>
    </xf>
    <xf numFmtId="0" fontId="13" fillId="2" borderId="88" xfId="0" applyFont="1" applyFill="1" applyBorder="1" applyAlignment="1" applyProtection="1">
      <alignment horizontal="center" vertical="top"/>
      <protection locked="0"/>
    </xf>
    <xf numFmtId="0" fontId="13" fillId="2" borderId="142" xfId="0" applyFont="1" applyFill="1" applyBorder="1" applyAlignment="1" applyProtection="1">
      <alignment horizontal="center" vertical="top"/>
      <protection locked="0"/>
    </xf>
    <xf numFmtId="0" fontId="22" fillId="8" borderId="35" xfId="0" applyFont="1" applyFill="1" applyBorder="1" applyAlignment="1" applyProtection="1">
      <alignment horizontal="center" vertical="center" wrapText="1"/>
    </xf>
    <xf numFmtId="0" fontId="22" fillId="8" borderId="15" xfId="0" applyFont="1" applyFill="1" applyBorder="1" applyAlignment="1" applyProtection="1">
      <alignment horizontal="center" vertical="center"/>
    </xf>
    <xf numFmtId="0" fontId="22" fillId="8" borderId="3" xfId="0" applyFont="1" applyFill="1" applyBorder="1" applyAlignment="1" applyProtection="1">
      <alignment horizontal="center" vertical="center"/>
    </xf>
    <xf numFmtId="0" fontId="15" fillId="5" borderId="203" xfId="0" applyFont="1" applyFill="1" applyBorder="1" applyAlignment="1" applyProtection="1">
      <alignment horizontal="left" vertical="center" shrinkToFit="1"/>
    </xf>
    <xf numFmtId="0" fontId="15" fillId="5" borderId="130" xfId="0" applyFont="1" applyFill="1" applyBorder="1" applyAlignment="1" applyProtection="1">
      <alignment horizontal="left" vertical="center" shrinkToFit="1"/>
    </xf>
    <xf numFmtId="0" fontId="15" fillId="5" borderId="204" xfId="0" applyFont="1" applyFill="1" applyBorder="1" applyAlignment="1" applyProtection="1">
      <alignment horizontal="left" vertical="center" shrinkToFit="1"/>
    </xf>
    <xf numFmtId="0" fontId="13" fillId="0" borderId="0" xfId="0" applyFont="1" applyFill="1" applyBorder="1" applyAlignment="1" applyProtection="1">
      <alignment vertical="top" wrapText="1"/>
    </xf>
    <xf numFmtId="0" fontId="13" fillId="0" borderId="0" xfId="0" applyFont="1" applyFill="1" applyBorder="1" applyAlignment="1" applyProtection="1">
      <alignment vertical="center" wrapText="1"/>
    </xf>
    <xf numFmtId="38" fontId="53" fillId="0" borderId="0" xfId="6" applyFont="1" applyFill="1" applyAlignment="1" applyProtection="1">
      <alignment vertical="center" shrinkToFit="1"/>
      <protection hidden="1"/>
    </xf>
    <xf numFmtId="38" fontId="53" fillId="0" borderId="0" xfId="6" applyFont="1" applyFill="1" applyBorder="1" applyAlignment="1" applyProtection="1">
      <alignment vertical="center"/>
      <protection hidden="1"/>
    </xf>
    <xf numFmtId="38" fontId="53" fillId="0" borderId="0" xfId="6" applyFont="1" applyFill="1" applyBorder="1" applyAlignment="1" applyProtection="1">
      <alignment vertical="center" shrinkToFit="1"/>
      <protection hidden="1"/>
    </xf>
    <xf numFmtId="38" fontId="53" fillId="0" borderId="0" xfId="6" applyFont="1" applyFill="1" applyBorder="1" applyAlignment="1" applyProtection="1">
      <alignment horizontal="left" vertical="center" shrinkToFit="1"/>
      <protection hidden="1"/>
    </xf>
    <xf numFmtId="38" fontId="53" fillId="0" borderId="0" xfId="6" applyFont="1" applyFill="1" applyAlignment="1" applyProtection="1">
      <alignment vertical="center" wrapText="1"/>
      <protection hidden="1"/>
    </xf>
    <xf numFmtId="38" fontId="53" fillId="0" borderId="0" xfId="6" applyFont="1" applyFill="1" applyAlignment="1" applyProtection="1">
      <alignment vertical="center"/>
      <protection hidden="1"/>
    </xf>
    <xf numFmtId="38" fontId="58" fillId="0" borderId="0" xfId="6" applyFont="1" applyFill="1" applyBorder="1" applyAlignment="1" applyProtection="1">
      <alignment vertical="center"/>
      <protection hidden="1"/>
    </xf>
    <xf numFmtId="38" fontId="53" fillId="0" borderId="18" xfId="6" applyFont="1" applyFill="1" applyBorder="1" applyAlignment="1" applyProtection="1">
      <alignment vertical="center"/>
      <protection hidden="1"/>
    </xf>
    <xf numFmtId="0" fontId="0" fillId="0" borderId="4" xfId="0" applyBorder="1" applyAlignment="1">
      <alignment horizontal="left" vertical="center"/>
    </xf>
    <xf numFmtId="0" fontId="45" fillId="3" borderId="4" xfId="0" applyFont="1" applyFill="1" applyBorder="1" applyAlignment="1">
      <alignment horizontal="left" vertical="center"/>
    </xf>
    <xf numFmtId="0" fontId="0" fillId="0" borderId="4" xfId="0" applyFill="1" applyBorder="1" applyAlignment="1">
      <alignment horizontal="left" vertical="center" wrapText="1"/>
    </xf>
    <xf numFmtId="0" fontId="46" fillId="0" borderId="4" xfId="0" applyFont="1" applyFill="1" applyBorder="1" applyAlignment="1">
      <alignment horizontal="left" vertical="center" wrapText="1"/>
    </xf>
    <xf numFmtId="0" fontId="0" fillId="3" borderId="14" xfId="0" applyFill="1" applyBorder="1" applyAlignment="1">
      <alignment horizontal="center" vertical="center" wrapText="1"/>
    </xf>
    <xf numFmtId="0" fontId="0" fillId="3" borderId="3" xfId="0" applyFill="1" applyBorder="1" applyAlignment="1">
      <alignment horizontal="center" vertical="center" wrapText="1"/>
    </xf>
    <xf numFmtId="0" fontId="46" fillId="0" borderId="4" xfId="0" applyFont="1" applyFill="1" applyBorder="1" applyAlignment="1">
      <alignment vertical="center" wrapText="1"/>
    </xf>
    <xf numFmtId="0" fontId="0" fillId="0" borderId="4" xfId="0" applyBorder="1" applyAlignment="1">
      <alignment horizontal="center" vertical="center"/>
    </xf>
    <xf numFmtId="0" fontId="0" fillId="0" borderId="4" xfId="0" applyBorder="1" applyAlignment="1">
      <alignment horizontal="left" vertical="center" wrapText="1"/>
    </xf>
    <xf numFmtId="0" fontId="0" fillId="0" borderId="4" xfId="0" applyFill="1" applyBorder="1" applyAlignment="1">
      <alignment vertical="center" wrapText="1"/>
    </xf>
    <xf numFmtId="0" fontId="39" fillId="0" borderId="4" xfId="0" applyFont="1" applyFill="1" applyBorder="1" applyAlignment="1">
      <alignment vertical="center" wrapText="1"/>
    </xf>
    <xf numFmtId="0" fontId="40" fillId="0" borderId="0" xfId="3" applyFont="1" applyAlignment="1">
      <alignment horizontal="center" vertical="center"/>
    </xf>
    <xf numFmtId="0" fontId="42" fillId="0" borderId="4" xfId="0" applyFont="1" applyBorder="1" applyAlignment="1">
      <alignment horizontal="center" vertical="center" wrapText="1"/>
    </xf>
    <xf numFmtId="0" fontId="43" fillId="0" borderId="4"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5" fillId="3" borderId="4" xfId="0" applyFont="1" applyFill="1" applyBorder="1" applyAlignment="1">
      <alignment horizontal="left" vertical="center" wrapText="1"/>
    </xf>
    <xf numFmtId="0" fontId="13" fillId="0" borderId="13" xfId="0" applyFont="1" applyFill="1" applyBorder="1" applyAlignment="1" applyProtection="1">
      <alignment horizontal="left" vertical="center" wrapText="1"/>
    </xf>
    <xf numFmtId="0" fontId="12" fillId="4" borderId="4"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xf>
    <xf numFmtId="0" fontId="13" fillId="0" borderId="12" xfId="0" applyFont="1" applyFill="1" applyBorder="1" applyAlignment="1" applyProtection="1">
      <alignment horizontal="left" vertical="center" shrinkToFit="1"/>
    </xf>
    <xf numFmtId="0" fontId="13" fillId="0" borderId="1" xfId="0" applyFont="1" applyFill="1" applyBorder="1" applyAlignment="1" applyProtection="1">
      <alignment horizontal="left" vertical="center" shrinkToFit="1"/>
    </xf>
    <xf numFmtId="0" fontId="37" fillId="0" borderId="45" xfId="0" applyFont="1" applyFill="1" applyBorder="1" applyAlignment="1" applyProtection="1">
      <alignment horizontal="center" vertical="center" shrinkToFit="1"/>
    </xf>
    <xf numFmtId="0" fontId="37" fillId="0" borderId="46" xfId="0" applyFont="1" applyFill="1" applyBorder="1" applyAlignment="1" applyProtection="1">
      <alignment horizontal="center" vertical="center" shrinkToFit="1"/>
    </xf>
    <xf numFmtId="0" fontId="37" fillId="0" borderId="47" xfId="0" applyFont="1" applyFill="1" applyBorder="1" applyAlignment="1" applyProtection="1">
      <alignment horizontal="center" vertical="center" shrinkToFit="1"/>
    </xf>
    <xf numFmtId="0" fontId="12" fillId="4" borderId="4" xfId="0" applyFont="1" applyFill="1" applyBorder="1" applyAlignment="1" applyProtection="1">
      <alignment horizontal="center" vertical="center" shrinkToFit="1"/>
    </xf>
    <xf numFmtId="0" fontId="20" fillId="0" borderId="4" xfId="0" applyFont="1" applyFill="1" applyBorder="1" applyAlignment="1" applyProtection="1">
      <alignment horizontal="center" vertical="center" wrapText="1"/>
    </xf>
    <xf numFmtId="0" fontId="12" fillId="0" borderId="4" xfId="0" applyFont="1" applyFill="1" applyBorder="1" applyAlignment="1" applyProtection="1">
      <alignment horizontal="left" vertical="top" wrapText="1" shrinkToFit="1"/>
    </xf>
    <xf numFmtId="0" fontId="13" fillId="6" borderId="4" xfId="0" applyFont="1" applyFill="1" applyBorder="1" applyAlignment="1" applyProtection="1">
      <alignment horizontal="center" vertical="center"/>
    </xf>
    <xf numFmtId="0" fontId="13" fillId="6" borderId="14" xfId="0" applyFont="1" applyFill="1" applyBorder="1" applyAlignment="1" applyProtection="1">
      <alignment horizontal="center" vertical="center"/>
    </xf>
    <xf numFmtId="0" fontId="13" fillId="6" borderId="3" xfId="0" applyFont="1" applyFill="1" applyBorder="1" applyAlignment="1" applyProtection="1">
      <alignment horizontal="center" vertical="center"/>
    </xf>
    <xf numFmtId="0" fontId="13" fillId="0" borderId="4" xfId="0" applyFont="1" applyFill="1" applyBorder="1" applyAlignment="1" applyProtection="1">
      <alignment horizontal="left" vertical="top" wrapText="1"/>
    </xf>
    <xf numFmtId="0" fontId="15" fillId="0" borderId="0" xfId="0" applyFont="1" applyFill="1" applyAlignment="1" applyProtection="1">
      <alignment horizontal="left" vertical="center"/>
    </xf>
    <xf numFmtId="0" fontId="13" fillId="4" borderId="166" xfId="0" applyFont="1" applyFill="1" applyBorder="1" applyAlignment="1" applyProtection="1">
      <alignment horizontal="center" vertical="center"/>
    </xf>
  </cellXfs>
  <cellStyles count="20">
    <cellStyle name="パーセント" xfId="2" builtinId="5"/>
    <cellStyle name="パーセント 2" xfId="8" xr:uid="{00000000-0005-0000-0000-000001000000}"/>
    <cellStyle name="桁区切り" xfId="1" builtinId="6"/>
    <cellStyle name="桁区切り 2" xfId="6" xr:uid="{00000000-0005-0000-0000-000003000000}"/>
    <cellStyle name="標準" xfId="0" builtinId="0"/>
    <cellStyle name="標準 10" xfId="17" xr:uid="{C955F46E-0FC6-4A75-A4CD-9EE57F9CDD57}"/>
    <cellStyle name="標準 11" xfId="18" xr:uid="{DE3B4C35-38A8-4612-9435-8755BC2C91E2}"/>
    <cellStyle name="標準 12" xfId="19" xr:uid="{2FD1C76B-3A45-4F42-A4A2-B8C8606C8673}"/>
    <cellStyle name="標準 2" xfId="5" xr:uid="{00000000-0005-0000-0000-000005000000}"/>
    <cellStyle name="標準 2 2" xfId="7" xr:uid="{00000000-0005-0000-0000-000006000000}"/>
    <cellStyle name="標準 2 3" xfId="12" xr:uid="{00000000-0005-0000-0000-000007000000}"/>
    <cellStyle name="標準 3" xfId="4" xr:uid="{00000000-0005-0000-0000-000008000000}"/>
    <cellStyle name="標準 3 2" xfId="11" xr:uid="{00000000-0005-0000-0000-000009000000}"/>
    <cellStyle name="標準 4" xfId="9" xr:uid="{00000000-0005-0000-0000-00000A000000}"/>
    <cellStyle name="標準 5" xfId="10" xr:uid="{00000000-0005-0000-0000-00000B000000}"/>
    <cellStyle name="標準 6" xfId="13" xr:uid="{00000000-0005-0000-0000-00000C000000}"/>
    <cellStyle name="標準 7" xfId="14" xr:uid="{00000000-0005-0000-0000-00000D000000}"/>
    <cellStyle name="標準 8" xfId="15" xr:uid="{00000000-0005-0000-0000-00000E000000}"/>
    <cellStyle name="標準 9" xfId="16" xr:uid="{00000000-0005-0000-0000-00000F000000}"/>
    <cellStyle name="標準_経営指標の定義と算出式2シート分" xfId="3" xr:uid="{00000000-0005-0000-0000-000010000000}"/>
  </cellStyles>
  <dxfs count="544">
    <dxf>
      <fill>
        <patternFill>
          <bgColor theme="6" tint="0.39994506668294322"/>
        </patternFill>
      </fill>
    </dxf>
    <dxf>
      <fill>
        <patternFill>
          <bgColor rgb="FFFFCCCC"/>
        </patternFill>
      </fill>
    </dxf>
    <dxf>
      <fill>
        <patternFill>
          <bgColor theme="6" tint="0.39994506668294322"/>
        </patternFill>
      </fill>
    </dxf>
    <dxf>
      <fill>
        <patternFill>
          <bgColor rgb="FFFFCCCC"/>
        </patternFill>
      </fill>
    </dxf>
    <dxf>
      <fill>
        <patternFill>
          <bgColor theme="6" tint="0.39994506668294322"/>
        </patternFill>
      </fill>
    </dxf>
    <dxf>
      <fill>
        <patternFill>
          <bgColor rgb="FFFFCCCC"/>
        </patternFill>
      </fill>
    </dxf>
    <dxf>
      <fill>
        <patternFill>
          <bgColor theme="6" tint="0.39994506668294322"/>
        </patternFill>
      </fill>
    </dxf>
    <dxf>
      <fill>
        <patternFill>
          <bgColor rgb="FFFFCCCC"/>
        </patternFill>
      </fill>
    </dxf>
    <dxf>
      <fill>
        <patternFill>
          <bgColor theme="6" tint="0.39994506668294322"/>
        </patternFill>
      </fill>
    </dxf>
    <dxf>
      <fill>
        <patternFill>
          <bgColor rgb="FFFFCCCC"/>
        </patternFill>
      </fill>
    </dxf>
    <dxf>
      <fill>
        <patternFill>
          <bgColor theme="6" tint="0.39994506668294322"/>
        </patternFill>
      </fill>
    </dxf>
    <dxf>
      <fill>
        <patternFill>
          <bgColor rgb="FFFFCCCC"/>
        </patternFill>
      </fill>
    </dxf>
    <dxf>
      <fill>
        <patternFill>
          <bgColor theme="6" tint="0.39994506668294322"/>
        </patternFill>
      </fill>
    </dxf>
    <dxf>
      <fill>
        <patternFill>
          <bgColor rgb="FFFFCCCC"/>
        </patternFill>
      </fill>
    </dxf>
    <dxf>
      <fill>
        <patternFill>
          <bgColor theme="6" tint="0.39994506668294322"/>
        </patternFill>
      </fill>
    </dxf>
    <dxf>
      <fill>
        <patternFill>
          <bgColor rgb="FFFFCCCC"/>
        </patternFill>
      </fill>
    </dxf>
    <dxf>
      <fill>
        <patternFill>
          <bgColor theme="6" tint="0.39994506668294322"/>
        </patternFill>
      </fill>
    </dxf>
    <dxf>
      <fill>
        <patternFill>
          <bgColor rgb="FFFFCCCC"/>
        </patternFill>
      </fill>
    </dxf>
    <dxf>
      <fill>
        <patternFill>
          <bgColor theme="6" tint="0.39994506668294322"/>
        </patternFill>
      </fill>
    </dxf>
    <dxf>
      <fill>
        <patternFill>
          <bgColor rgb="FFFFCCCC"/>
        </patternFill>
      </fill>
    </dxf>
    <dxf>
      <fill>
        <patternFill>
          <bgColor theme="6" tint="0.39994506668294322"/>
        </patternFill>
      </fill>
    </dxf>
    <dxf>
      <fill>
        <patternFill>
          <bgColor rgb="FFFFCCCC"/>
        </patternFill>
      </fill>
    </dxf>
    <dxf>
      <fill>
        <patternFill>
          <bgColor theme="6" tint="0.39994506668294322"/>
        </patternFill>
      </fill>
    </dxf>
    <dxf>
      <fill>
        <patternFill>
          <bgColor rgb="FFFFCCCC"/>
        </patternFill>
      </fill>
    </dxf>
    <dxf>
      <fill>
        <patternFill>
          <bgColor theme="6" tint="0.39994506668294322"/>
        </patternFill>
      </fill>
    </dxf>
    <dxf>
      <fill>
        <patternFill>
          <bgColor rgb="FFFFCCCC"/>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theme="6" tint="0.39994506668294322"/>
        </patternFill>
      </fill>
    </dxf>
    <dxf>
      <fill>
        <patternFill>
          <bgColor rgb="FFFFCCCC"/>
        </patternFill>
      </fill>
    </dxf>
    <dxf>
      <fill>
        <patternFill>
          <bgColor theme="6" tint="0.39994506668294322"/>
        </patternFill>
      </fill>
    </dxf>
    <dxf>
      <fill>
        <patternFill>
          <bgColor rgb="FFFFCCCC"/>
        </patternFill>
      </fill>
    </dxf>
    <dxf>
      <fill>
        <patternFill>
          <bgColor theme="6" tint="0.39994506668294322"/>
        </patternFill>
      </fill>
    </dxf>
    <dxf>
      <fill>
        <patternFill>
          <bgColor rgb="FFFFCCCC"/>
        </patternFill>
      </fill>
    </dxf>
    <dxf>
      <fill>
        <patternFill>
          <bgColor theme="6" tint="0.39994506668294322"/>
        </patternFill>
      </fill>
    </dxf>
    <dxf>
      <fill>
        <patternFill>
          <bgColor rgb="FFFFCCCC"/>
        </patternFill>
      </fill>
    </dxf>
    <dxf>
      <fill>
        <patternFill>
          <bgColor theme="6" tint="0.39994506668294322"/>
        </patternFill>
      </fill>
    </dxf>
    <dxf>
      <fill>
        <patternFill>
          <bgColor rgb="FFFFCCCC"/>
        </patternFill>
      </fill>
    </dxf>
    <dxf>
      <fill>
        <patternFill>
          <bgColor theme="6" tint="0.59996337778862885"/>
        </patternFill>
      </fill>
    </dxf>
    <dxf>
      <fill>
        <patternFill>
          <bgColor theme="6" tint="0.59996337778862885"/>
        </patternFill>
      </fill>
    </dxf>
    <dxf>
      <fill>
        <patternFill>
          <bgColor rgb="FFFFCCCC"/>
        </patternFill>
      </fill>
    </dxf>
    <dxf>
      <fill>
        <patternFill>
          <bgColor rgb="FFFFCCCC"/>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rgb="FFFFCCCC"/>
        </patternFill>
      </fill>
    </dxf>
    <dxf>
      <fill>
        <patternFill>
          <bgColor theme="6" tint="0.39994506668294322"/>
        </patternFill>
      </fill>
    </dxf>
    <dxf>
      <fill>
        <patternFill>
          <bgColor rgb="FFFFCCCC"/>
        </patternFill>
      </fill>
    </dxf>
    <dxf>
      <fill>
        <patternFill>
          <bgColor theme="6" tint="0.39994506668294322"/>
        </patternFill>
      </fill>
    </dxf>
    <dxf>
      <fill>
        <patternFill>
          <bgColor theme="6" tint="0.39994506668294322"/>
        </patternFill>
      </fill>
    </dxf>
    <dxf>
      <fill>
        <patternFill>
          <bgColor rgb="FFFFCCCC"/>
        </patternFill>
      </fill>
    </dxf>
    <dxf>
      <fill>
        <patternFill>
          <bgColor theme="6" tint="0.39994506668294322"/>
        </patternFill>
      </fill>
    </dxf>
    <dxf>
      <fill>
        <patternFill>
          <bgColor theme="6" tint="0.39994506668294322"/>
        </patternFill>
      </fill>
    </dxf>
    <dxf>
      <fill>
        <patternFill>
          <bgColor rgb="FFFFCCCC"/>
        </patternFill>
      </fill>
    </dxf>
    <dxf>
      <fill>
        <patternFill>
          <bgColor theme="6" tint="0.39994506668294322"/>
        </patternFill>
      </fill>
    </dxf>
    <dxf>
      <fill>
        <patternFill>
          <bgColor theme="6" tint="0.39994506668294322"/>
        </patternFill>
      </fill>
    </dxf>
    <dxf>
      <fill>
        <patternFill>
          <bgColor rgb="FFFFCCCC"/>
        </patternFill>
      </fill>
    </dxf>
    <dxf>
      <fill>
        <patternFill>
          <bgColor theme="6" tint="0.39994506668294322"/>
        </patternFill>
      </fill>
    </dxf>
    <dxf>
      <fill>
        <patternFill>
          <bgColor theme="6" tint="0.39994506668294322"/>
        </patternFill>
      </fill>
    </dxf>
    <dxf>
      <fill>
        <patternFill>
          <bgColor rgb="FFFFCCCC"/>
        </patternFill>
      </fill>
    </dxf>
    <dxf>
      <fill>
        <patternFill>
          <bgColor theme="6" tint="0.39994506668294322"/>
        </patternFill>
      </fill>
    </dxf>
    <dxf>
      <fill>
        <patternFill>
          <bgColor theme="6" tint="0.39994506668294322"/>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rgb="FFFFCCCC"/>
        </patternFill>
      </fill>
    </dxf>
    <dxf>
      <fill>
        <patternFill>
          <bgColor theme="6" tint="0.39994506668294322"/>
        </patternFill>
      </fill>
    </dxf>
    <dxf>
      <fill>
        <patternFill>
          <bgColor rgb="FFFFCCCC"/>
        </patternFill>
      </fill>
    </dxf>
    <dxf>
      <fill>
        <patternFill>
          <bgColor rgb="FFFFCCCC"/>
        </patternFill>
      </fill>
    </dxf>
    <dxf>
      <fill>
        <patternFill>
          <bgColor rgb="FFFFCCCC"/>
        </patternFill>
      </fill>
    </dxf>
    <dxf>
      <fill>
        <patternFill>
          <bgColor theme="6" tint="0.39994506668294322"/>
        </patternFill>
      </fill>
    </dxf>
    <dxf>
      <fill>
        <patternFill>
          <bgColor theme="6" tint="0.39994506668294322"/>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rgb="FFFFCCCC"/>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rgb="FFFFCCCC"/>
        </patternFill>
      </fill>
    </dxf>
    <dxf>
      <fill>
        <patternFill>
          <bgColor theme="6" tint="0.39994506668294322"/>
        </patternFill>
      </fill>
    </dxf>
    <dxf>
      <fill>
        <patternFill>
          <bgColor theme="6" tint="0.39994506668294322"/>
        </patternFill>
      </fill>
    </dxf>
    <dxf>
      <fill>
        <patternFill>
          <bgColor rgb="FFFFCCCC"/>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rgb="FFFFCCCC"/>
        </patternFill>
      </fill>
    </dxf>
    <dxf>
      <fill>
        <patternFill>
          <bgColor theme="6" tint="0.39994506668294322"/>
        </patternFill>
      </fill>
    </dxf>
    <dxf>
      <fill>
        <patternFill>
          <bgColor theme="6" tint="0.39994506668294322"/>
        </patternFill>
      </fill>
    </dxf>
    <dxf>
      <fill>
        <patternFill>
          <bgColor rgb="FFFFCCCC"/>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rgb="FFFFCCCC"/>
        </patternFill>
      </fill>
    </dxf>
    <dxf>
      <fill>
        <patternFill>
          <bgColor theme="6" tint="0.39994506668294322"/>
        </patternFill>
      </fill>
    </dxf>
    <dxf>
      <fill>
        <patternFill>
          <bgColor theme="6" tint="0.39994506668294322"/>
        </patternFill>
      </fill>
    </dxf>
    <dxf>
      <fill>
        <patternFill>
          <bgColor rgb="FFFFCCCC"/>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rgb="FFFFCCCC"/>
        </patternFill>
      </fill>
    </dxf>
    <dxf>
      <fill>
        <patternFill>
          <bgColor theme="6" tint="0.39994506668294322"/>
        </patternFill>
      </fill>
    </dxf>
    <dxf>
      <fill>
        <patternFill>
          <bgColor theme="6" tint="0.39994506668294322"/>
        </patternFill>
      </fill>
    </dxf>
    <dxf>
      <fill>
        <patternFill>
          <bgColor rgb="FFFFCCCC"/>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6" tint="0.39994506668294322"/>
        </patternFill>
      </fill>
    </dxf>
    <dxf>
      <fill>
        <patternFill>
          <bgColor rgb="FFFFCCCC"/>
        </patternFill>
      </fill>
    </dxf>
    <dxf>
      <fill>
        <patternFill>
          <bgColor theme="6" tint="0.39994506668294322"/>
        </patternFill>
      </fill>
    </dxf>
    <dxf>
      <fill>
        <patternFill>
          <bgColor theme="6" tint="0.39994506668294322"/>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theme="6" tint="0.39994506668294322"/>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CCC"/>
        </patternFill>
      </fill>
    </dxf>
    <dxf>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colors>
    <mruColors>
      <color rgb="FFFFFFCC"/>
      <color rgb="FFFFCC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180975</xdr:colOff>
      <xdr:row>65</xdr:row>
      <xdr:rowOff>76201</xdr:rowOff>
    </xdr:from>
    <xdr:to>
      <xdr:col>11</xdr:col>
      <xdr:colOff>47625</xdr:colOff>
      <xdr:row>69</xdr:row>
      <xdr:rowOff>0</xdr:rowOff>
    </xdr:to>
    <xdr:sp macro="" textlink="">
      <xdr:nvSpPr>
        <xdr:cNvPr id="4" name="左大かっこ 3">
          <a:extLst>
            <a:ext uri="{FF2B5EF4-FFF2-40B4-BE49-F238E27FC236}">
              <a16:creationId xmlns:a16="http://schemas.microsoft.com/office/drawing/2014/main" id="{00000000-0008-0000-0000-000004000000}"/>
            </a:ext>
          </a:extLst>
        </xdr:cNvPr>
        <xdr:cNvSpPr/>
      </xdr:nvSpPr>
      <xdr:spPr>
        <a:xfrm>
          <a:off x="3705225" y="19764376"/>
          <a:ext cx="219075" cy="109537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65</xdr:row>
      <xdr:rowOff>85725</xdr:rowOff>
    </xdr:from>
    <xdr:to>
      <xdr:col>15</xdr:col>
      <xdr:colOff>238125</xdr:colOff>
      <xdr:row>68</xdr:row>
      <xdr:rowOff>322148</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a:off x="5305425" y="19773900"/>
          <a:ext cx="219075" cy="108414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178594</xdr:colOff>
      <xdr:row>727</xdr:row>
      <xdr:rowOff>52387</xdr:rowOff>
    </xdr:from>
    <xdr:to>
      <xdr:col>18</xdr:col>
      <xdr:colOff>61437</xdr:colOff>
      <xdr:row>731</xdr:row>
      <xdr:rowOff>61912</xdr:rowOff>
    </xdr:to>
    <xdr:sp macro="[0]!貸借対照表の読み込み" textlink="">
      <xdr:nvSpPr>
        <xdr:cNvPr id="6" name="四角形: 角を丸くする 3">
          <a:extLst>
            <a:ext uri="{FF2B5EF4-FFF2-40B4-BE49-F238E27FC236}">
              <a16:creationId xmlns:a16="http://schemas.microsoft.com/office/drawing/2014/main" id="{00000000-0008-0000-0000-000006000000}"/>
            </a:ext>
          </a:extLst>
        </xdr:cNvPr>
        <xdr:cNvSpPr/>
      </xdr:nvSpPr>
      <xdr:spPr>
        <a:xfrm>
          <a:off x="3845719" y="178708050"/>
          <a:ext cx="2216468" cy="866775"/>
        </a:xfrm>
        <a:prstGeom prst="roundRect">
          <a:avLst/>
        </a:prstGeom>
        <a:solidFill>
          <a:schemeClr val="accent6">
            <a:lumMod val="75000"/>
          </a:schemeClr>
        </a:solidFill>
        <a:ln/>
        <a:scene3d>
          <a:camera prst="orthographicFront"/>
          <a:lightRig rig="threePt" dir="t"/>
        </a:scene3d>
        <a:sp3d>
          <a:bevelT/>
        </a:sp3d>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1050">
              <a:solidFill>
                <a:schemeClr val="tx1"/>
              </a:solidFill>
            </a:rPr>
            <a:t>貸借対照表（四様式）</a:t>
          </a:r>
          <a:endParaRPr kumimoji="1" lang="en-US" altLang="ja-JP" sz="1050">
            <a:solidFill>
              <a:schemeClr val="tx1"/>
            </a:solidFill>
          </a:endParaRPr>
        </a:p>
        <a:p>
          <a:pPr algn="ctr"/>
          <a:r>
            <a:rPr kumimoji="1" lang="ja-JP" altLang="en-US" sz="1050">
              <a:solidFill>
                <a:schemeClr val="tx1"/>
              </a:solidFill>
            </a:rPr>
            <a:t>の読み込み</a:t>
          </a:r>
          <a:endParaRPr kumimoji="1" lang="en-US" altLang="ja-JP" sz="1050">
            <a:solidFill>
              <a:schemeClr val="tx1"/>
            </a:solidFill>
          </a:endParaRPr>
        </a:p>
        <a:p>
          <a:pPr algn="ctr"/>
          <a:r>
            <a:rPr kumimoji="1" lang="ja-JP" altLang="en-US" sz="1050">
              <a:solidFill>
                <a:schemeClr val="tx1"/>
              </a:solidFill>
            </a:rPr>
            <a:t>（マクロを実行する）</a:t>
          </a:r>
        </a:p>
      </xdr:txBody>
    </xdr:sp>
    <xdr:clientData/>
  </xdr:twoCellAnchor>
  <xdr:twoCellAnchor>
    <xdr:from>
      <xdr:col>13</xdr:col>
      <xdr:colOff>59531</xdr:colOff>
      <xdr:row>772</xdr:row>
      <xdr:rowOff>61912</xdr:rowOff>
    </xdr:from>
    <xdr:to>
      <xdr:col>19</xdr:col>
      <xdr:colOff>263843</xdr:colOff>
      <xdr:row>776</xdr:row>
      <xdr:rowOff>100012</xdr:rowOff>
    </xdr:to>
    <xdr:sp macro="[0]!資金収支計算書の読み込み" textlink="">
      <xdr:nvSpPr>
        <xdr:cNvPr id="7" name="四角形: 角を丸くする 3">
          <a:extLst>
            <a:ext uri="{FF2B5EF4-FFF2-40B4-BE49-F238E27FC236}">
              <a16:creationId xmlns:a16="http://schemas.microsoft.com/office/drawing/2014/main" id="{00000000-0008-0000-0000-000007000000}"/>
            </a:ext>
          </a:extLst>
        </xdr:cNvPr>
        <xdr:cNvSpPr/>
      </xdr:nvSpPr>
      <xdr:spPr>
        <a:xfrm>
          <a:off x="4393406" y="190966725"/>
          <a:ext cx="2204562" cy="895350"/>
        </a:xfrm>
        <a:prstGeom prst="roundRect">
          <a:avLst/>
        </a:prstGeom>
        <a:solidFill>
          <a:schemeClr val="accent6">
            <a:lumMod val="75000"/>
          </a:schemeClr>
        </a:solidFill>
        <a:ln/>
        <a:scene3d>
          <a:camera prst="orthographicFront"/>
          <a:lightRig rig="threePt" dir="t"/>
        </a:scene3d>
        <a:sp3d>
          <a:bevelT/>
        </a:sp3d>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1050">
              <a:solidFill>
                <a:schemeClr val="tx1"/>
              </a:solidFill>
            </a:rPr>
            <a:t>資金収支計算書（資金明細）</a:t>
          </a:r>
          <a:endParaRPr kumimoji="1" lang="en-US" altLang="ja-JP" sz="1050">
            <a:solidFill>
              <a:schemeClr val="tx1"/>
            </a:solidFill>
          </a:endParaRPr>
        </a:p>
        <a:p>
          <a:pPr algn="ctr"/>
          <a:r>
            <a:rPr kumimoji="1" lang="ja-JP" altLang="en-US" sz="1050">
              <a:solidFill>
                <a:schemeClr val="tx1"/>
              </a:solidFill>
            </a:rPr>
            <a:t>の読み込み</a:t>
          </a:r>
          <a:endParaRPr kumimoji="1" lang="en-US" altLang="ja-JP" sz="1050">
            <a:solidFill>
              <a:schemeClr val="tx1"/>
            </a:solidFill>
          </a:endParaRPr>
        </a:p>
        <a:p>
          <a:pPr algn="ctr"/>
          <a:r>
            <a:rPr kumimoji="1" lang="ja-JP" altLang="en-US" sz="1050">
              <a:solidFill>
                <a:schemeClr val="tx1"/>
              </a:solidFill>
            </a:rPr>
            <a:t>（マクロを実行する）</a:t>
          </a:r>
        </a:p>
      </xdr:txBody>
    </xdr:sp>
    <xdr:clientData/>
  </xdr:twoCellAnchor>
  <xdr:twoCellAnchor>
    <xdr:from>
      <xdr:col>12</xdr:col>
      <xdr:colOff>3767</xdr:colOff>
      <xdr:row>639</xdr:row>
      <xdr:rowOff>68624</xdr:rowOff>
    </xdr:from>
    <xdr:to>
      <xdr:col>18</xdr:col>
      <xdr:colOff>1386</xdr:colOff>
      <xdr:row>682</xdr:row>
      <xdr:rowOff>109751</xdr:rowOff>
    </xdr:to>
    <xdr:sp macro="[0]!事業活動計算書の読み込み" textlink="">
      <xdr:nvSpPr>
        <xdr:cNvPr id="8" name="四角形: 角を丸くする 3">
          <a:extLst>
            <a:ext uri="{FF2B5EF4-FFF2-40B4-BE49-F238E27FC236}">
              <a16:creationId xmlns:a16="http://schemas.microsoft.com/office/drawing/2014/main" id="{00000000-0008-0000-0000-000008000000}"/>
            </a:ext>
          </a:extLst>
        </xdr:cNvPr>
        <xdr:cNvSpPr/>
      </xdr:nvSpPr>
      <xdr:spPr>
        <a:xfrm>
          <a:off x="3827622" y="168172751"/>
          <a:ext cx="1909546" cy="720000"/>
        </a:xfrm>
        <a:prstGeom prst="roundRect">
          <a:avLst/>
        </a:prstGeom>
        <a:solidFill>
          <a:schemeClr val="accent6">
            <a:lumMod val="75000"/>
          </a:schemeClr>
        </a:solidFill>
        <a:ln/>
        <a:scene3d>
          <a:camera prst="orthographicFront"/>
          <a:lightRig rig="threePt" dir="t"/>
        </a:scene3d>
        <a:sp3d>
          <a:bevelT/>
        </a:sp3d>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1050">
              <a:solidFill>
                <a:schemeClr val="tx1"/>
              </a:solidFill>
            </a:rPr>
            <a:t>事業活動計算書（事業明細）</a:t>
          </a:r>
          <a:endParaRPr kumimoji="1" lang="en-US" altLang="ja-JP" sz="1050">
            <a:solidFill>
              <a:schemeClr val="tx1"/>
            </a:solidFill>
          </a:endParaRPr>
        </a:p>
        <a:p>
          <a:pPr algn="ctr"/>
          <a:r>
            <a:rPr kumimoji="1" lang="ja-JP" altLang="en-US" sz="1050">
              <a:solidFill>
                <a:schemeClr val="tx1"/>
              </a:solidFill>
            </a:rPr>
            <a:t>の読み込み</a:t>
          </a:r>
          <a:endParaRPr kumimoji="1" lang="en-US" altLang="ja-JP" sz="1050">
            <a:solidFill>
              <a:schemeClr val="tx1"/>
            </a:solidFill>
          </a:endParaRPr>
        </a:p>
        <a:p>
          <a:pPr algn="ctr"/>
          <a:r>
            <a:rPr kumimoji="1" lang="ja-JP" altLang="en-US" sz="1050">
              <a:solidFill>
                <a:schemeClr val="tx1"/>
              </a:solidFill>
            </a:rPr>
            <a:t>（マクロを実行する）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177800</xdr:colOff>
      <xdr:row>16</xdr:row>
      <xdr:rowOff>78715</xdr:rowOff>
    </xdr:from>
    <xdr:to>
      <xdr:col>8</xdr:col>
      <xdr:colOff>158749</xdr:colOff>
      <xdr:row>22</xdr:row>
      <xdr:rowOff>256515</xdr:rowOff>
    </xdr:to>
    <xdr:sp macro="" textlink="">
      <xdr:nvSpPr>
        <xdr:cNvPr id="3" name="テキスト ボックス 21">
          <a:extLst>
            <a:ext uri="{FF2B5EF4-FFF2-40B4-BE49-F238E27FC236}">
              <a16:creationId xmlns:a16="http://schemas.microsoft.com/office/drawing/2014/main" id="{00000000-0008-0000-0500-000003000000}"/>
            </a:ext>
          </a:extLst>
        </xdr:cNvPr>
        <xdr:cNvSpPr txBox="1"/>
      </xdr:nvSpPr>
      <xdr:spPr>
        <a:xfrm>
          <a:off x="177800" y="5823794"/>
          <a:ext cx="2788317" cy="1982537"/>
        </a:xfrm>
        <a:prstGeom prst="rect">
          <a:avLst/>
        </a:prstGeom>
        <a:solidFill>
          <a:schemeClr val="lt1"/>
        </a:solidFill>
        <a:ln w="28575" cmpd="dbl">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kern="100">
              <a:solidFill>
                <a:srgbClr val="000000"/>
              </a:solidFill>
              <a:effectLst/>
              <a:latin typeface="+mj-ea"/>
              <a:ea typeface="+mj-ea"/>
              <a:cs typeface="Times New Roman"/>
            </a:rPr>
            <a:t>【対象サービス】</a:t>
          </a:r>
          <a:endParaRPr lang="en-US" altLang="ja-JP" sz="1050" kern="100">
            <a:solidFill>
              <a:srgbClr val="000000"/>
            </a:solidFill>
            <a:effectLst/>
            <a:latin typeface="+mj-ea"/>
            <a:ea typeface="+mj-ea"/>
            <a:cs typeface="Times New Roman"/>
          </a:endParaRPr>
        </a:p>
        <a:p>
          <a:pPr algn="l">
            <a:lnSpc>
              <a:spcPts val="1200"/>
            </a:lnSpc>
            <a:spcAft>
              <a:spcPts val="0"/>
            </a:spcAft>
          </a:pPr>
          <a:r>
            <a:rPr lang="ja-JP" altLang="en-US" sz="1050" kern="100">
              <a:solidFill>
                <a:srgbClr val="000000"/>
              </a:solidFill>
              <a:effectLst/>
              <a:latin typeface="+mj-ea"/>
              <a:ea typeface="+mj-ea"/>
              <a:cs typeface="Times New Roman"/>
            </a:rPr>
            <a:t>特養と併設（一体的運用）短期入所がある場合は、</a:t>
          </a:r>
          <a:r>
            <a:rPr lang="ja-JP" sz="1400" b="1" u="sng" kern="100">
              <a:solidFill>
                <a:srgbClr val="FF0000"/>
              </a:solidFill>
              <a:effectLst/>
              <a:latin typeface="+mj-ea"/>
              <a:ea typeface="+mj-ea"/>
              <a:cs typeface="Times New Roman"/>
            </a:rPr>
            <a:t>①特養</a:t>
          </a:r>
          <a:r>
            <a:rPr lang="ja-JP" altLang="en-US" sz="1400" b="1" u="sng" kern="100">
              <a:solidFill>
                <a:srgbClr val="FF0000"/>
              </a:solidFill>
              <a:effectLst/>
              <a:latin typeface="+mj-ea"/>
              <a:ea typeface="+mj-ea"/>
              <a:cs typeface="Times New Roman"/>
            </a:rPr>
            <a:t>・短期入所</a:t>
          </a:r>
          <a:endParaRPr lang="en-US" altLang="ja-JP" sz="1400" b="1" u="sng" kern="100">
            <a:solidFill>
              <a:srgbClr val="FF0000"/>
            </a:solidFill>
            <a:effectLst/>
            <a:latin typeface="+mj-ea"/>
            <a:ea typeface="+mj-ea"/>
            <a:cs typeface="Times New Roman"/>
          </a:endParaRPr>
        </a:p>
        <a:p>
          <a:pPr algn="just">
            <a:lnSpc>
              <a:spcPts val="1200"/>
            </a:lnSpc>
            <a:spcAft>
              <a:spcPts val="0"/>
            </a:spcAft>
          </a:pPr>
          <a:endParaRPr lang="ja-JP" sz="1050" kern="100">
            <a:effectLst/>
            <a:latin typeface="+mj-ea"/>
            <a:ea typeface="+mj-ea"/>
            <a:cs typeface="Times New Roman"/>
          </a:endParaRPr>
        </a:p>
        <a:p>
          <a:pPr algn="just">
            <a:lnSpc>
              <a:spcPts val="1300"/>
            </a:lnSpc>
            <a:spcAft>
              <a:spcPts val="0"/>
            </a:spcAft>
          </a:pPr>
          <a:r>
            <a:rPr lang="ja-JP" sz="1050" kern="100">
              <a:solidFill>
                <a:srgbClr val="000000"/>
              </a:solidFill>
              <a:effectLst/>
              <a:latin typeface="+mj-ea"/>
              <a:ea typeface="+mj-ea"/>
              <a:cs typeface="Times New Roman"/>
            </a:rPr>
            <a:t>または</a:t>
          </a:r>
          <a:endParaRPr lang="en-US" altLang="ja-JP" sz="1050" kern="100">
            <a:solidFill>
              <a:srgbClr val="000000"/>
            </a:solidFill>
            <a:effectLst/>
            <a:latin typeface="+mj-ea"/>
            <a:ea typeface="+mj-ea"/>
            <a:cs typeface="Times New Roman"/>
          </a:endParaRPr>
        </a:p>
        <a:p>
          <a:pPr algn="just">
            <a:lnSpc>
              <a:spcPts val="1200"/>
            </a:lnSpc>
            <a:spcAft>
              <a:spcPts val="0"/>
            </a:spcAft>
          </a:pPr>
          <a:endParaRPr lang="en-US" altLang="ja-JP" sz="1050" kern="100">
            <a:solidFill>
              <a:srgbClr val="000000"/>
            </a:solidFill>
            <a:effectLst/>
            <a:latin typeface="+mj-ea"/>
            <a:ea typeface="+mj-ea"/>
            <a:cs typeface="Times New Roman"/>
          </a:endParaRPr>
        </a:p>
        <a:p>
          <a:pPr algn="just">
            <a:lnSpc>
              <a:spcPts val="1300"/>
            </a:lnSpc>
            <a:spcAft>
              <a:spcPts val="0"/>
            </a:spcAft>
          </a:pPr>
          <a:r>
            <a:rPr lang="ja-JP" altLang="en-US" sz="1050" kern="100">
              <a:solidFill>
                <a:srgbClr val="000000"/>
              </a:solidFill>
              <a:effectLst/>
              <a:latin typeface="+mj-ea"/>
              <a:ea typeface="+mj-ea"/>
              <a:cs typeface="Times New Roman"/>
            </a:rPr>
            <a:t>特養と併設（一体的運用）短期入所がない場合は、</a:t>
          </a:r>
          <a:r>
            <a:rPr lang="ja-JP" sz="1400" b="1" u="sng" kern="100">
              <a:solidFill>
                <a:srgbClr val="FF0000"/>
              </a:solidFill>
              <a:effectLst/>
              <a:latin typeface="+mj-ea"/>
              <a:ea typeface="+mj-ea"/>
              <a:cs typeface="Times New Roman"/>
            </a:rPr>
            <a:t>②特養</a:t>
          </a:r>
          <a:r>
            <a:rPr lang="ja-JP" altLang="en-US" sz="1400" b="1" u="sng" kern="100">
              <a:solidFill>
                <a:srgbClr val="FF0000"/>
              </a:solidFill>
              <a:effectLst/>
              <a:latin typeface="+mj-ea"/>
              <a:ea typeface="+mj-ea"/>
              <a:cs typeface="Times New Roman"/>
            </a:rPr>
            <a:t>のみ</a:t>
          </a:r>
          <a:endParaRPr lang="ja-JP" sz="1050" kern="100">
            <a:solidFill>
              <a:srgbClr val="FF0000"/>
            </a:solidFill>
            <a:effectLst/>
            <a:latin typeface="+mj-ea"/>
            <a:ea typeface="+mj-ea"/>
            <a:cs typeface="Times New Roman"/>
          </a:endParaRPr>
        </a:p>
        <a:p>
          <a:pPr algn="just">
            <a:lnSpc>
              <a:spcPts val="1200"/>
            </a:lnSpc>
            <a:spcAft>
              <a:spcPts val="0"/>
            </a:spcAft>
          </a:pPr>
          <a:r>
            <a:rPr lang="en-US" sz="1050" kern="100">
              <a:solidFill>
                <a:srgbClr val="000000"/>
              </a:solidFill>
              <a:effectLst/>
              <a:latin typeface="+mj-ea"/>
              <a:ea typeface="+mj-ea"/>
              <a:cs typeface="Times New Roman"/>
            </a:rPr>
            <a:t> </a:t>
          </a:r>
          <a:endParaRPr lang="ja-JP" sz="1050" kern="100">
            <a:effectLst/>
            <a:latin typeface="+mj-ea"/>
            <a:ea typeface="+mj-ea"/>
            <a:cs typeface="Times New Roman"/>
          </a:endParaRPr>
        </a:p>
        <a:p>
          <a:pPr algn="just">
            <a:lnSpc>
              <a:spcPts val="1200"/>
            </a:lnSpc>
            <a:spcAft>
              <a:spcPts val="0"/>
            </a:spcAft>
          </a:pPr>
          <a:r>
            <a:rPr lang="ja-JP" sz="1050" kern="100">
              <a:solidFill>
                <a:srgbClr val="000000"/>
              </a:solidFill>
              <a:effectLst/>
              <a:latin typeface="+mj-ea"/>
              <a:ea typeface="+mj-ea"/>
              <a:cs typeface="Times New Roman"/>
            </a:rPr>
            <a:t>上記、</a:t>
          </a:r>
          <a:r>
            <a:rPr lang="ja-JP" altLang="en-US" sz="1050" kern="100">
              <a:solidFill>
                <a:srgbClr val="000000"/>
              </a:solidFill>
              <a:effectLst/>
              <a:latin typeface="+mj-ea"/>
              <a:ea typeface="+mj-ea"/>
              <a:cs typeface="Times New Roman"/>
            </a:rPr>
            <a:t>区分で作成している</a:t>
          </a:r>
          <a:r>
            <a:rPr lang="ja-JP" sz="1050" kern="100">
              <a:solidFill>
                <a:srgbClr val="000000"/>
              </a:solidFill>
              <a:effectLst/>
              <a:latin typeface="+mj-ea"/>
              <a:ea typeface="+mj-ea"/>
              <a:cs typeface="Times New Roman"/>
            </a:rPr>
            <a:t>決算書類をご提出ください。</a:t>
          </a:r>
          <a:endParaRPr lang="ja-JP" sz="1050" kern="100">
            <a:effectLst/>
            <a:latin typeface="+mj-ea"/>
            <a:ea typeface="+mj-ea"/>
            <a:cs typeface="Times New Roman"/>
          </a:endParaRPr>
        </a:p>
      </xdr:txBody>
    </xdr:sp>
    <xdr:clientData/>
  </xdr:twoCellAnchor>
  <xdr:twoCellAnchor>
    <xdr:from>
      <xdr:col>0</xdr:col>
      <xdr:colOff>177800</xdr:colOff>
      <xdr:row>16</xdr:row>
      <xdr:rowOff>78715</xdr:rowOff>
    </xdr:from>
    <xdr:to>
      <xdr:col>8</xdr:col>
      <xdr:colOff>158749</xdr:colOff>
      <xdr:row>22</xdr:row>
      <xdr:rowOff>256515</xdr:rowOff>
    </xdr:to>
    <xdr:sp macro="" textlink="">
      <xdr:nvSpPr>
        <xdr:cNvPr id="4" name="テキスト ボックス 21">
          <a:extLst>
            <a:ext uri="{FF2B5EF4-FFF2-40B4-BE49-F238E27FC236}">
              <a16:creationId xmlns:a16="http://schemas.microsoft.com/office/drawing/2014/main" id="{00000000-0008-0000-0500-000004000000}"/>
            </a:ext>
          </a:extLst>
        </xdr:cNvPr>
        <xdr:cNvSpPr txBox="1"/>
      </xdr:nvSpPr>
      <xdr:spPr>
        <a:xfrm>
          <a:off x="177800" y="5822290"/>
          <a:ext cx="2800349" cy="2006600"/>
        </a:xfrm>
        <a:prstGeom prst="rect">
          <a:avLst/>
        </a:prstGeom>
        <a:solidFill>
          <a:schemeClr val="lt1"/>
        </a:solidFill>
        <a:ln w="28575" cmpd="dbl">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kern="100">
              <a:solidFill>
                <a:srgbClr val="000000"/>
              </a:solidFill>
              <a:effectLst/>
              <a:latin typeface="+mj-ea"/>
              <a:ea typeface="+mj-ea"/>
              <a:cs typeface="Times New Roman"/>
            </a:rPr>
            <a:t>【対象サービス】</a:t>
          </a:r>
          <a:endParaRPr lang="en-US" altLang="ja-JP" sz="1050" kern="100">
            <a:solidFill>
              <a:srgbClr val="000000"/>
            </a:solidFill>
            <a:effectLst/>
            <a:latin typeface="+mj-ea"/>
            <a:ea typeface="+mj-ea"/>
            <a:cs typeface="Times New Roman"/>
          </a:endParaRPr>
        </a:p>
        <a:p>
          <a:pPr algn="l">
            <a:lnSpc>
              <a:spcPts val="1200"/>
            </a:lnSpc>
            <a:spcAft>
              <a:spcPts val="0"/>
            </a:spcAft>
          </a:pPr>
          <a:r>
            <a:rPr lang="ja-JP" altLang="en-US" sz="1050" kern="100">
              <a:solidFill>
                <a:srgbClr val="000000"/>
              </a:solidFill>
              <a:effectLst/>
              <a:latin typeface="+mj-ea"/>
              <a:ea typeface="+mj-ea"/>
              <a:cs typeface="Times New Roman"/>
            </a:rPr>
            <a:t>特養と併設（一体的運用）短期入所がある場合は、</a:t>
          </a:r>
          <a:r>
            <a:rPr lang="ja-JP" sz="1400" b="1" u="sng" kern="100">
              <a:solidFill>
                <a:srgbClr val="FF0000"/>
              </a:solidFill>
              <a:effectLst/>
              <a:latin typeface="+mj-ea"/>
              <a:ea typeface="+mj-ea"/>
              <a:cs typeface="Times New Roman"/>
            </a:rPr>
            <a:t>①特養</a:t>
          </a:r>
          <a:r>
            <a:rPr lang="ja-JP" altLang="en-US" sz="1400" b="1" u="sng" kern="100">
              <a:solidFill>
                <a:srgbClr val="FF0000"/>
              </a:solidFill>
              <a:effectLst/>
              <a:latin typeface="+mj-ea"/>
              <a:ea typeface="+mj-ea"/>
              <a:cs typeface="Times New Roman"/>
            </a:rPr>
            <a:t>・短期入所</a:t>
          </a:r>
          <a:endParaRPr lang="en-US" altLang="ja-JP" sz="1400" b="1" u="sng" kern="100">
            <a:solidFill>
              <a:srgbClr val="FF0000"/>
            </a:solidFill>
            <a:effectLst/>
            <a:latin typeface="+mj-ea"/>
            <a:ea typeface="+mj-ea"/>
            <a:cs typeface="Times New Roman"/>
          </a:endParaRPr>
        </a:p>
        <a:p>
          <a:pPr algn="just">
            <a:lnSpc>
              <a:spcPts val="1200"/>
            </a:lnSpc>
            <a:spcAft>
              <a:spcPts val="0"/>
            </a:spcAft>
          </a:pPr>
          <a:endParaRPr lang="ja-JP" sz="1050" kern="100">
            <a:effectLst/>
            <a:latin typeface="+mj-ea"/>
            <a:ea typeface="+mj-ea"/>
            <a:cs typeface="Times New Roman"/>
          </a:endParaRPr>
        </a:p>
        <a:p>
          <a:pPr algn="just">
            <a:lnSpc>
              <a:spcPts val="1300"/>
            </a:lnSpc>
            <a:spcAft>
              <a:spcPts val="0"/>
            </a:spcAft>
          </a:pPr>
          <a:r>
            <a:rPr lang="ja-JP" sz="1050" kern="100">
              <a:solidFill>
                <a:srgbClr val="000000"/>
              </a:solidFill>
              <a:effectLst/>
              <a:latin typeface="+mj-ea"/>
              <a:ea typeface="+mj-ea"/>
              <a:cs typeface="Times New Roman"/>
            </a:rPr>
            <a:t>または</a:t>
          </a:r>
          <a:endParaRPr lang="en-US" altLang="ja-JP" sz="1050" kern="100">
            <a:solidFill>
              <a:srgbClr val="000000"/>
            </a:solidFill>
            <a:effectLst/>
            <a:latin typeface="+mj-ea"/>
            <a:ea typeface="+mj-ea"/>
            <a:cs typeface="Times New Roman"/>
          </a:endParaRPr>
        </a:p>
        <a:p>
          <a:pPr algn="just">
            <a:lnSpc>
              <a:spcPts val="1200"/>
            </a:lnSpc>
            <a:spcAft>
              <a:spcPts val="0"/>
            </a:spcAft>
          </a:pPr>
          <a:endParaRPr lang="en-US" altLang="ja-JP" sz="1050" kern="100">
            <a:solidFill>
              <a:srgbClr val="000000"/>
            </a:solidFill>
            <a:effectLst/>
            <a:latin typeface="+mj-ea"/>
            <a:ea typeface="+mj-ea"/>
            <a:cs typeface="Times New Roman"/>
          </a:endParaRPr>
        </a:p>
        <a:p>
          <a:pPr algn="just">
            <a:lnSpc>
              <a:spcPts val="1300"/>
            </a:lnSpc>
            <a:spcAft>
              <a:spcPts val="0"/>
            </a:spcAft>
          </a:pPr>
          <a:r>
            <a:rPr lang="ja-JP" altLang="en-US" sz="1050" kern="100">
              <a:solidFill>
                <a:srgbClr val="000000"/>
              </a:solidFill>
              <a:effectLst/>
              <a:latin typeface="+mj-ea"/>
              <a:ea typeface="+mj-ea"/>
              <a:cs typeface="Times New Roman"/>
            </a:rPr>
            <a:t>特養と併設（一体的運用）短期入所がない場合は、</a:t>
          </a:r>
          <a:r>
            <a:rPr lang="ja-JP" sz="1400" b="1" u="sng" kern="100">
              <a:solidFill>
                <a:srgbClr val="FF0000"/>
              </a:solidFill>
              <a:effectLst/>
              <a:latin typeface="+mj-ea"/>
              <a:ea typeface="+mj-ea"/>
              <a:cs typeface="Times New Roman"/>
            </a:rPr>
            <a:t>②特養</a:t>
          </a:r>
          <a:r>
            <a:rPr lang="ja-JP" altLang="en-US" sz="1400" b="1" u="sng" kern="100">
              <a:solidFill>
                <a:srgbClr val="FF0000"/>
              </a:solidFill>
              <a:effectLst/>
              <a:latin typeface="+mj-ea"/>
              <a:ea typeface="+mj-ea"/>
              <a:cs typeface="Times New Roman"/>
            </a:rPr>
            <a:t>のみ</a:t>
          </a:r>
          <a:endParaRPr lang="ja-JP" sz="1050" kern="100">
            <a:solidFill>
              <a:srgbClr val="FF0000"/>
            </a:solidFill>
            <a:effectLst/>
            <a:latin typeface="+mj-ea"/>
            <a:ea typeface="+mj-ea"/>
            <a:cs typeface="Times New Roman"/>
          </a:endParaRPr>
        </a:p>
        <a:p>
          <a:pPr algn="just">
            <a:lnSpc>
              <a:spcPts val="1200"/>
            </a:lnSpc>
            <a:spcAft>
              <a:spcPts val="0"/>
            </a:spcAft>
          </a:pPr>
          <a:r>
            <a:rPr lang="en-US" sz="1050" kern="100">
              <a:solidFill>
                <a:srgbClr val="000000"/>
              </a:solidFill>
              <a:effectLst/>
              <a:latin typeface="+mj-ea"/>
              <a:ea typeface="+mj-ea"/>
              <a:cs typeface="Times New Roman"/>
            </a:rPr>
            <a:t> </a:t>
          </a:r>
          <a:endParaRPr lang="ja-JP" sz="1050" kern="100">
            <a:effectLst/>
            <a:latin typeface="+mj-ea"/>
            <a:ea typeface="+mj-ea"/>
            <a:cs typeface="Times New Roman"/>
          </a:endParaRPr>
        </a:p>
        <a:p>
          <a:pPr algn="just">
            <a:lnSpc>
              <a:spcPts val="1200"/>
            </a:lnSpc>
            <a:spcAft>
              <a:spcPts val="0"/>
            </a:spcAft>
          </a:pPr>
          <a:r>
            <a:rPr lang="ja-JP" sz="1050" kern="100">
              <a:solidFill>
                <a:srgbClr val="000000"/>
              </a:solidFill>
              <a:effectLst/>
              <a:latin typeface="+mj-ea"/>
              <a:ea typeface="+mj-ea"/>
              <a:cs typeface="Times New Roman"/>
            </a:rPr>
            <a:t>上記、</a:t>
          </a:r>
          <a:r>
            <a:rPr lang="ja-JP" altLang="en-US" sz="1050" kern="100">
              <a:solidFill>
                <a:srgbClr val="000000"/>
              </a:solidFill>
              <a:effectLst/>
              <a:latin typeface="+mj-ea"/>
              <a:ea typeface="+mj-ea"/>
              <a:cs typeface="Times New Roman"/>
            </a:rPr>
            <a:t>区分で作成している</a:t>
          </a:r>
          <a:r>
            <a:rPr lang="ja-JP" sz="1050" kern="100">
              <a:solidFill>
                <a:srgbClr val="000000"/>
              </a:solidFill>
              <a:effectLst/>
              <a:latin typeface="+mj-ea"/>
              <a:ea typeface="+mj-ea"/>
              <a:cs typeface="Times New Roman"/>
            </a:rPr>
            <a:t>決算書類をご提出ください。</a:t>
          </a:r>
          <a:endParaRPr lang="ja-JP" sz="1050" kern="100">
            <a:effectLst/>
            <a:latin typeface="+mj-ea"/>
            <a:ea typeface="+mj-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sheetPr>
  <dimension ref="A1:AW806"/>
  <sheetViews>
    <sheetView showGridLines="0" tabSelected="1" view="pageBreakPreview" zoomScaleNormal="84" zoomScaleSheetLayoutView="100" workbookViewId="0"/>
  </sheetViews>
  <sheetFormatPr defaultColWidth="9" defaultRowHeight="13.5" x14ac:dyDescent="0.15"/>
  <cols>
    <col min="1" max="3" width="4.625" style="54" customWidth="1"/>
    <col min="4" max="14" width="4.625" style="55" customWidth="1"/>
    <col min="15" max="22" width="4.625" style="54" customWidth="1"/>
    <col min="23" max="44" width="4.625" style="377" customWidth="1"/>
    <col min="45" max="46" width="9" style="377"/>
    <col min="47" max="16384" width="9" style="54"/>
  </cols>
  <sheetData>
    <row r="1" spans="1:46" s="38" customFormat="1" ht="13.5" customHeight="1" x14ac:dyDescent="0.15">
      <c r="A1" s="61"/>
      <c r="B1" s="62"/>
      <c r="C1" s="62"/>
      <c r="D1" s="62"/>
      <c r="E1" s="62"/>
      <c r="F1" s="62"/>
      <c r="G1" s="62"/>
      <c r="H1" s="62"/>
      <c r="I1" s="62"/>
      <c r="J1" s="62"/>
      <c r="K1" s="62"/>
      <c r="L1" s="62"/>
      <c r="M1" s="62"/>
      <c r="N1" s="62"/>
      <c r="O1" s="62"/>
      <c r="P1" s="62"/>
      <c r="Q1" s="62"/>
      <c r="R1" s="62"/>
      <c r="S1" s="62"/>
      <c r="T1" s="1628" t="str">
        <f>D41</f>
        <v/>
      </c>
      <c r="U1" s="1628"/>
      <c r="V1" s="1629"/>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row>
    <row r="2" spans="1:46" s="38" customFormat="1" ht="21.95" customHeight="1" x14ac:dyDescent="0.15">
      <c r="A2" s="63" t="s">
        <v>1957</v>
      </c>
      <c r="B2" s="36"/>
      <c r="C2" s="36"/>
      <c r="D2" s="36"/>
      <c r="E2" s="36"/>
      <c r="F2" s="36"/>
      <c r="G2" s="36"/>
      <c r="H2" s="36"/>
      <c r="I2" s="36"/>
      <c r="J2" s="36"/>
      <c r="K2" s="36"/>
      <c r="L2" s="36"/>
      <c r="M2" s="36"/>
      <c r="N2" s="36"/>
      <c r="O2" s="36"/>
      <c r="P2" s="36"/>
      <c r="Q2" s="36"/>
      <c r="R2" s="36"/>
      <c r="S2" s="36"/>
      <c r="T2" s="1630"/>
      <c r="U2" s="1630"/>
      <c r="V2" s="1631"/>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row>
    <row r="3" spans="1:46" s="38" customFormat="1" ht="51.75" customHeight="1" x14ac:dyDescent="0.15">
      <c r="A3" s="1296" t="s">
        <v>1958</v>
      </c>
      <c r="B3" s="1297"/>
      <c r="C3" s="1297"/>
      <c r="D3" s="1297"/>
      <c r="E3" s="1297"/>
      <c r="F3" s="1297"/>
      <c r="G3" s="1297"/>
      <c r="H3" s="1297"/>
      <c r="I3" s="1297"/>
      <c r="J3" s="1297"/>
      <c r="K3" s="1297"/>
      <c r="L3" s="1297"/>
      <c r="M3" s="1297"/>
      <c r="N3" s="1297"/>
      <c r="O3" s="1297"/>
      <c r="P3" s="1297"/>
      <c r="Q3" s="1297"/>
      <c r="R3" s="1297"/>
      <c r="S3" s="1297"/>
      <c r="T3" s="1297"/>
      <c r="U3" s="1297"/>
      <c r="V3" s="1298"/>
      <c r="W3" s="379"/>
      <c r="X3" s="378"/>
      <c r="Y3" s="378"/>
      <c r="Z3" s="378"/>
      <c r="AA3" s="378"/>
      <c r="AB3" s="378"/>
      <c r="AC3" s="378"/>
      <c r="AD3" s="378"/>
      <c r="AE3" s="378"/>
      <c r="AF3" s="378"/>
      <c r="AG3" s="378"/>
      <c r="AH3" s="378"/>
      <c r="AI3" s="378"/>
      <c r="AJ3" s="378"/>
      <c r="AK3" s="378"/>
      <c r="AL3" s="378"/>
      <c r="AM3" s="378"/>
      <c r="AN3" s="378"/>
      <c r="AO3" s="378"/>
      <c r="AP3" s="378"/>
      <c r="AQ3" s="378"/>
      <c r="AR3" s="378"/>
      <c r="AS3" s="378"/>
      <c r="AT3" s="378"/>
    </row>
    <row r="4" spans="1:46" ht="27" customHeight="1" x14ac:dyDescent="0.15">
      <c r="A4" s="30"/>
      <c r="B4" s="38"/>
      <c r="C4" s="38"/>
      <c r="D4" s="1220" t="s">
        <v>101</v>
      </c>
      <c r="E4" s="1220"/>
      <c r="F4" s="1220"/>
      <c r="G4" s="1211"/>
      <c r="H4" s="1211"/>
      <c r="I4" s="1211"/>
      <c r="J4" s="1211"/>
      <c r="K4" s="36"/>
      <c r="L4" s="1220" t="s">
        <v>105</v>
      </c>
      <c r="M4" s="1220"/>
      <c r="N4" s="1220"/>
      <c r="O4" s="1211"/>
      <c r="P4" s="1211"/>
      <c r="Q4" s="1211"/>
      <c r="R4" s="1211"/>
      <c r="S4" s="38"/>
      <c r="T4" s="38"/>
      <c r="U4" s="38"/>
      <c r="V4" s="34"/>
    </row>
    <row r="5" spans="1:46" ht="27" customHeight="1" x14ac:dyDescent="0.15">
      <c r="A5" s="30"/>
      <c r="B5" s="38"/>
      <c r="C5" s="38"/>
      <c r="D5" s="735" t="s">
        <v>99</v>
      </c>
      <c r="E5" s="736"/>
      <c r="F5" s="737"/>
      <c r="G5" s="1211"/>
      <c r="H5" s="1211"/>
      <c r="I5" s="1211"/>
      <c r="J5" s="1211"/>
      <c r="K5" s="36"/>
      <c r="L5" s="1220" t="s">
        <v>100</v>
      </c>
      <c r="M5" s="1220"/>
      <c r="N5" s="1220"/>
      <c r="O5" s="1211"/>
      <c r="P5" s="1211"/>
      <c r="Q5" s="1211"/>
      <c r="R5" s="1211"/>
      <c r="S5" s="36"/>
      <c r="T5" s="36"/>
      <c r="U5" s="36"/>
      <c r="V5" s="64"/>
      <c r="W5" s="380"/>
      <c r="X5" s="380"/>
    </row>
    <row r="6" spans="1:46" ht="27" customHeight="1" x14ac:dyDescent="0.15">
      <c r="A6" s="30"/>
      <c r="B6" s="38"/>
      <c r="C6" s="38"/>
      <c r="D6" s="735" t="s">
        <v>222</v>
      </c>
      <c r="E6" s="736"/>
      <c r="F6" s="737"/>
      <c r="G6" s="1189"/>
      <c r="H6" s="1189"/>
      <c r="I6" s="1189"/>
      <c r="J6" s="1189"/>
      <c r="K6" s="1189"/>
      <c r="L6" s="1189"/>
      <c r="M6" s="1189"/>
      <c r="N6" s="1189"/>
      <c r="O6" s="1189"/>
      <c r="P6" s="1189"/>
      <c r="Q6" s="1189"/>
      <c r="R6" s="1189"/>
      <c r="S6" s="38"/>
      <c r="T6" s="38"/>
      <c r="U6" s="38"/>
      <c r="V6" s="34"/>
    </row>
    <row r="7" spans="1:46" ht="13.5" customHeight="1" x14ac:dyDescent="0.15">
      <c r="A7" s="25"/>
      <c r="B7" s="26"/>
      <c r="C7" s="453" t="s">
        <v>263</v>
      </c>
      <c r="D7" s="1075" t="s">
        <v>264</v>
      </c>
      <c r="E7" s="1075"/>
      <c r="F7" s="1075"/>
      <c r="G7" s="1075"/>
      <c r="H7" s="1075"/>
      <c r="I7" s="1075"/>
      <c r="J7" s="1075"/>
      <c r="K7" s="1075"/>
      <c r="L7" s="1075"/>
      <c r="M7" s="1075"/>
      <c r="N7" s="1075"/>
      <c r="O7" s="1075"/>
      <c r="P7" s="1075"/>
      <c r="Q7" s="1075"/>
      <c r="R7" s="1075"/>
      <c r="S7" s="36"/>
      <c r="T7" s="38"/>
      <c r="U7" s="38"/>
      <c r="V7" s="34"/>
    </row>
    <row r="8" spans="1:46" ht="13.5" customHeight="1" x14ac:dyDescent="0.15">
      <c r="A8" s="25"/>
      <c r="B8" s="26"/>
      <c r="C8" s="453"/>
      <c r="D8" s="866"/>
      <c r="E8" s="866"/>
      <c r="F8" s="866"/>
      <c r="G8" s="866"/>
      <c r="H8" s="866"/>
      <c r="I8" s="866"/>
      <c r="J8" s="866"/>
      <c r="K8" s="866"/>
      <c r="L8" s="866"/>
      <c r="M8" s="866"/>
      <c r="N8" s="866"/>
      <c r="O8" s="866"/>
      <c r="P8" s="866"/>
      <c r="Q8" s="866"/>
      <c r="R8" s="866"/>
      <c r="S8" s="36"/>
      <c r="T8" s="38"/>
      <c r="U8" s="38"/>
      <c r="V8" s="34"/>
    </row>
    <row r="9" spans="1:46" ht="5.0999999999999996" customHeight="1" x14ac:dyDescent="0.15">
      <c r="A9" s="25"/>
      <c r="B9" s="26"/>
      <c r="C9" s="447"/>
      <c r="D9" s="447"/>
      <c r="E9" s="447"/>
      <c r="F9" s="447"/>
      <c r="G9" s="447"/>
      <c r="H9" s="447"/>
      <c r="I9" s="447"/>
      <c r="J9" s="447"/>
      <c r="K9" s="447"/>
      <c r="L9" s="447"/>
      <c r="M9" s="447"/>
      <c r="N9" s="447"/>
      <c r="O9" s="447"/>
      <c r="P9" s="447"/>
      <c r="Q9" s="447"/>
      <c r="R9" s="447"/>
      <c r="S9" s="28"/>
      <c r="T9" s="29"/>
      <c r="U9" s="29"/>
      <c r="V9" s="27"/>
    </row>
    <row r="10" spans="1:46" s="38" customFormat="1" ht="5.0999999999999996" customHeight="1" x14ac:dyDescent="0.15">
      <c r="A10" s="30"/>
      <c r="B10" s="31"/>
      <c r="C10" s="32"/>
      <c r="D10" s="32"/>
      <c r="E10" s="32"/>
      <c r="F10" s="32"/>
      <c r="G10" s="32"/>
      <c r="H10" s="32"/>
      <c r="I10" s="32"/>
      <c r="J10" s="32"/>
      <c r="K10" s="32"/>
      <c r="L10" s="32"/>
      <c r="M10" s="32"/>
      <c r="N10" s="32"/>
      <c r="O10" s="32"/>
      <c r="P10" s="32"/>
      <c r="Q10" s="32"/>
      <c r="R10" s="32"/>
      <c r="S10" s="32"/>
      <c r="T10" s="32"/>
      <c r="U10" s="33"/>
      <c r="V10" s="34"/>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row>
    <row r="11" spans="1:46" s="38" customFormat="1" ht="18" customHeight="1" x14ac:dyDescent="0.15">
      <c r="A11" s="30"/>
      <c r="B11" s="35"/>
      <c r="C11" s="36" t="s">
        <v>94</v>
      </c>
      <c r="D11" s="36"/>
      <c r="E11" s="36"/>
      <c r="F11" s="36"/>
      <c r="G11" s="36"/>
      <c r="H11" s="36"/>
      <c r="I11" s="36"/>
      <c r="J11" s="36"/>
      <c r="K11" s="36"/>
      <c r="L11" s="36"/>
      <c r="M11" s="36"/>
      <c r="N11" s="36"/>
      <c r="O11" s="36"/>
      <c r="P11" s="36"/>
      <c r="Q11" s="36"/>
      <c r="R11" s="36"/>
      <c r="S11" s="36"/>
      <c r="T11" s="36"/>
      <c r="U11" s="37"/>
      <c r="V11" s="34"/>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row>
    <row r="12" spans="1:46" s="38" customFormat="1" ht="18" customHeight="1" x14ac:dyDescent="0.15">
      <c r="A12" s="30"/>
      <c r="B12" s="35"/>
      <c r="C12" s="1086" t="s">
        <v>95</v>
      </c>
      <c r="D12" s="1086"/>
      <c r="E12" s="1086"/>
      <c r="F12" s="1086"/>
      <c r="G12" s="1086"/>
      <c r="H12" s="1086"/>
      <c r="I12" s="1086"/>
      <c r="J12" s="1086"/>
      <c r="K12" s="1086"/>
      <c r="L12" s="1086"/>
      <c r="M12" s="1086"/>
      <c r="N12" s="1086"/>
      <c r="O12" s="1086"/>
      <c r="P12" s="1086"/>
      <c r="Q12" s="1086"/>
      <c r="R12" s="1086"/>
      <c r="S12" s="1086"/>
      <c r="T12" s="1086"/>
      <c r="U12" s="1087"/>
      <c r="V12" s="34"/>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row>
    <row r="13" spans="1:46" s="38" customFormat="1" ht="30" customHeight="1" x14ac:dyDescent="0.15">
      <c r="A13" s="30"/>
      <c r="B13" s="35"/>
      <c r="C13" s="866" t="s">
        <v>261</v>
      </c>
      <c r="D13" s="866"/>
      <c r="E13" s="866"/>
      <c r="F13" s="866"/>
      <c r="G13" s="866"/>
      <c r="H13" s="866"/>
      <c r="I13" s="866"/>
      <c r="J13" s="866"/>
      <c r="K13" s="866"/>
      <c r="L13" s="866"/>
      <c r="M13" s="866"/>
      <c r="N13" s="866"/>
      <c r="O13" s="866"/>
      <c r="P13" s="866"/>
      <c r="Q13" s="866"/>
      <c r="R13" s="866"/>
      <c r="S13" s="866"/>
      <c r="T13" s="866"/>
      <c r="U13" s="1085"/>
      <c r="V13" s="34"/>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row>
    <row r="14" spans="1:46" s="38" customFormat="1" ht="18" customHeight="1" x14ac:dyDescent="0.15">
      <c r="A14" s="30"/>
      <c r="B14" s="35"/>
      <c r="C14" s="1086" t="s">
        <v>466</v>
      </c>
      <c r="D14" s="1086"/>
      <c r="E14" s="1086"/>
      <c r="F14" s="1086"/>
      <c r="G14" s="1086"/>
      <c r="H14" s="1086"/>
      <c r="I14" s="1086"/>
      <c r="J14" s="1086"/>
      <c r="K14" s="1086"/>
      <c r="L14" s="1086"/>
      <c r="M14" s="1086"/>
      <c r="N14" s="1086"/>
      <c r="O14" s="1086"/>
      <c r="P14" s="1086"/>
      <c r="Q14" s="1086"/>
      <c r="R14" s="1086"/>
      <c r="S14" s="1086"/>
      <c r="T14" s="1086"/>
      <c r="U14" s="1087"/>
      <c r="V14" s="34"/>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row>
    <row r="15" spans="1:46" s="38" customFormat="1" ht="18" customHeight="1" x14ac:dyDescent="0.15">
      <c r="A15" s="30"/>
      <c r="B15" s="35"/>
      <c r="C15" s="866" t="s">
        <v>260</v>
      </c>
      <c r="D15" s="866"/>
      <c r="E15" s="866"/>
      <c r="F15" s="866"/>
      <c r="G15" s="866"/>
      <c r="H15" s="866"/>
      <c r="I15" s="866"/>
      <c r="J15" s="866"/>
      <c r="K15" s="866"/>
      <c r="L15" s="866"/>
      <c r="M15" s="866"/>
      <c r="N15" s="866"/>
      <c r="O15" s="866"/>
      <c r="P15" s="866"/>
      <c r="Q15" s="866"/>
      <c r="R15" s="866"/>
      <c r="S15" s="866"/>
      <c r="T15" s="866"/>
      <c r="U15" s="1085"/>
      <c r="V15" s="34"/>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row>
    <row r="16" spans="1:46" s="38" customFormat="1" ht="18" customHeight="1" x14ac:dyDescent="0.15">
      <c r="A16" s="30"/>
      <c r="B16" s="35"/>
      <c r="C16" s="866"/>
      <c r="D16" s="866"/>
      <c r="E16" s="866"/>
      <c r="F16" s="866"/>
      <c r="G16" s="866"/>
      <c r="H16" s="866"/>
      <c r="I16" s="866"/>
      <c r="J16" s="866"/>
      <c r="K16" s="866"/>
      <c r="L16" s="866"/>
      <c r="M16" s="866"/>
      <c r="N16" s="866"/>
      <c r="O16" s="866"/>
      <c r="P16" s="866"/>
      <c r="Q16" s="866"/>
      <c r="R16" s="866"/>
      <c r="S16" s="866"/>
      <c r="T16" s="866"/>
      <c r="U16" s="1085"/>
      <c r="V16" s="34"/>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row>
    <row r="17" spans="1:46" s="38" customFormat="1" ht="18" customHeight="1" x14ac:dyDescent="0.15">
      <c r="A17" s="30"/>
      <c r="B17" s="35"/>
      <c r="C17" s="1086" t="s">
        <v>96</v>
      </c>
      <c r="D17" s="1086"/>
      <c r="E17" s="1086"/>
      <c r="F17" s="1086"/>
      <c r="G17" s="1086"/>
      <c r="H17" s="1086"/>
      <c r="I17" s="1086"/>
      <c r="J17" s="1086"/>
      <c r="K17" s="1086"/>
      <c r="L17" s="1086"/>
      <c r="M17" s="1086"/>
      <c r="N17" s="1086"/>
      <c r="O17" s="1086"/>
      <c r="P17" s="1086"/>
      <c r="Q17" s="1086"/>
      <c r="R17" s="1086"/>
      <c r="S17" s="1086"/>
      <c r="T17" s="1086"/>
      <c r="U17" s="1087"/>
      <c r="V17" s="34"/>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row>
    <row r="18" spans="1:46" s="38" customFormat="1" ht="18" customHeight="1" x14ac:dyDescent="0.15">
      <c r="A18" s="30"/>
      <c r="B18" s="35"/>
      <c r="C18" s="1086" t="s">
        <v>109</v>
      </c>
      <c r="D18" s="1086"/>
      <c r="E18" s="1086"/>
      <c r="F18" s="1086"/>
      <c r="G18" s="1086"/>
      <c r="H18" s="1086"/>
      <c r="I18" s="1086"/>
      <c r="J18" s="1086"/>
      <c r="K18" s="1086"/>
      <c r="L18" s="1086"/>
      <c r="M18" s="1086"/>
      <c r="N18" s="1086"/>
      <c r="O18" s="1086"/>
      <c r="P18" s="1086"/>
      <c r="Q18" s="1086"/>
      <c r="R18" s="1086"/>
      <c r="S18" s="1086"/>
      <c r="T18" s="1086"/>
      <c r="U18" s="1087"/>
      <c r="V18" s="34"/>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row>
    <row r="19" spans="1:46" s="38" customFormat="1" ht="18" customHeight="1" x14ac:dyDescent="0.15">
      <c r="A19" s="30"/>
      <c r="B19" s="35"/>
      <c r="C19" s="1086" t="s">
        <v>1263</v>
      </c>
      <c r="D19" s="1086"/>
      <c r="E19" s="1086"/>
      <c r="F19" s="1086"/>
      <c r="G19" s="1086"/>
      <c r="H19" s="1086"/>
      <c r="I19" s="1086"/>
      <c r="J19" s="1086"/>
      <c r="K19" s="1086"/>
      <c r="L19" s="1086"/>
      <c r="M19" s="1086"/>
      <c r="N19" s="1086"/>
      <c r="O19" s="1086"/>
      <c r="P19" s="1086"/>
      <c r="Q19" s="1086"/>
      <c r="R19" s="1086"/>
      <c r="S19" s="1086"/>
      <c r="T19" s="1086"/>
      <c r="U19" s="1087"/>
      <c r="V19" s="34"/>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row>
    <row r="20" spans="1:46" s="38" customFormat="1" ht="130.5" customHeight="1" x14ac:dyDescent="0.15">
      <c r="A20" s="30"/>
      <c r="B20" s="35"/>
      <c r="C20" s="749" t="s">
        <v>1488</v>
      </c>
      <c r="D20" s="749"/>
      <c r="E20" s="749"/>
      <c r="F20" s="749"/>
      <c r="G20" s="749"/>
      <c r="H20" s="749"/>
      <c r="I20" s="749"/>
      <c r="J20" s="749"/>
      <c r="K20" s="749"/>
      <c r="L20" s="749"/>
      <c r="M20" s="749"/>
      <c r="N20" s="749"/>
      <c r="O20" s="749"/>
      <c r="P20" s="749"/>
      <c r="Q20" s="749"/>
      <c r="R20" s="749"/>
      <c r="S20" s="749"/>
      <c r="T20" s="749"/>
      <c r="U20" s="37"/>
      <c r="V20" s="34"/>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row>
    <row r="21" spans="1:46" s="38" customFormat="1" ht="18" customHeight="1" x14ac:dyDescent="0.15">
      <c r="A21" s="30"/>
      <c r="B21" s="35"/>
      <c r="C21" s="36" t="s">
        <v>106</v>
      </c>
      <c r="D21" s="36"/>
      <c r="E21" s="36"/>
      <c r="F21" s="36"/>
      <c r="G21" s="36"/>
      <c r="H21" s="36"/>
      <c r="I21" s="36"/>
      <c r="J21" s="36"/>
      <c r="K21" s="36"/>
      <c r="L21" s="36"/>
      <c r="M21" s="36"/>
      <c r="N21" s="36"/>
      <c r="O21" s="36"/>
      <c r="P21" s="36"/>
      <c r="Q21" s="36"/>
      <c r="R21" s="36"/>
      <c r="S21" s="36"/>
      <c r="T21" s="36"/>
      <c r="U21" s="37"/>
      <c r="V21" s="34"/>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row>
    <row r="22" spans="1:46" s="38" customFormat="1" ht="66" customHeight="1" x14ac:dyDescent="0.15">
      <c r="A22" s="30"/>
      <c r="B22" s="35"/>
      <c r="C22" s="749" t="s">
        <v>1959</v>
      </c>
      <c r="D22" s="1187"/>
      <c r="E22" s="1187"/>
      <c r="F22" s="1187"/>
      <c r="G22" s="1187"/>
      <c r="H22" s="1187"/>
      <c r="I22" s="1187"/>
      <c r="J22" s="1187"/>
      <c r="K22" s="1187"/>
      <c r="L22" s="1187"/>
      <c r="M22" s="1187"/>
      <c r="N22" s="1187"/>
      <c r="O22" s="1187"/>
      <c r="P22" s="1187"/>
      <c r="Q22" s="1187"/>
      <c r="R22" s="1187"/>
      <c r="S22" s="1187"/>
      <c r="T22" s="1187"/>
      <c r="U22" s="1188"/>
      <c r="V22" s="34"/>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row>
    <row r="23" spans="1:46" ht="5.0999999999999996" customHeight="1" x14ac:dyDescent="0.15">
      <c r="A23" s="30"/>
      <c r="B23" s="39"/>
      <c r="C23" s="40"/>
      <c r="D23" s="40"/>
      <c r="E23" s="40"/>
      <c r="F23" s="41"/>
      <c r="G23" s="41"/>
      <c r="H23" s="41"/>
      <c r="I23" s="41"/>
      <c r="J23" s="41"/>
      <c r="K23" s="41"/>
      <c r="L23" s="41"/>
      <c r="M23" s="41"/>
      <c r="N23" s="41"/>
      <c r="O23" s="41"/>
      <c r="P23" s="41"/>
      <c r="Q23" s="40"/>
      <c r="R23" s="40"/>
      <c r="S23" s="40"/>
      <c r="T23" s="40"/>
      <c r="U23" s="42"/>
      <c r="V23" s="34"/>
    </row>
    <row r="24" spans="1:46" ht="13.5" customHeight="1" thickBot="1" x14ac:dyDescent="0.2">
      <c r="A24" s="30"/>
      <c r="B24" s="38"/>
      <c r="C24" s="38"/>
      <c r="D24" s="38"/>
      <c r="E24" s="38"/>
      <c r="F24" s="36"/>
      <c r="G24" s="36"/>
      <c r="H24" s="36"/>
      <c r="I24" s="36"/>
      <c r="J24" s="36"/>
      <c r="K24" s="36"/>
      <c r="L24" s="36"/>
      <c r="M24" s="36"/>
      <c r="N24" s="36"/>
      <c r="O24" s="36"/>
      <c r="P24" s="36"/>
      <c r="Q24" s="38"/>
      <c r="R24" s="38"/>
      <c r="S24" s="38"/>
      <c r="T24" s="38"/>
      <c r="U24" s="38"/>
      <c r="V24" s="34"/>
    </row>
    <row r="25" spans="1:46" ht="35.1" customHeight="1" thickTop="1" thickBot="1" x14ac:dyDescent="0.2">
      <c r="A25" s="43"/>
      <c r="B25" s="44"/>
      <c r="C25" s="44"/>
      <c r="D25" s="44"/>
      <c r="E25" s="44"/>
      <c r="F25" s="44"/>
      <c r="G25" s="1519" t="s">
        <v>1741</v>
      </c>
      <c r="H25" s="1520"/>
      <c r="I25" s="1520"/>
      <c r="J25" s="1520"/>
      <c r="K25" s="1520"/>
      <c r="L25" s="1520"/>
      <c r="M25" s="1520"/>
      <c r="N25" s="1520"/>
      <c r="O25" s="1520"/>
      <c r="P25" s="1521"/>
      <c r="Q25" s="44"/>
      <c r="R25" s="44"/>
      <c r="S25" s="44"/>
      <c r="T25" s="44"/>
      <c r="U25" s="36"/>
      <c r="V25" s="34"/>
    </row>
    <row r="26" spans="1:46" ht="13.5" customHeight="1" thickTop="1" x14ac:dyDescent="0.15">
      <c r="A26" s="43"/>
      <c r="B26" s="44"/>
      <c r="C26" s="44"/>
      <c r="D26" s="44"/>
      <c r="E26" s="44"/>
      <c r="F26" s="44"/>
      <c r="G26" s="45"/>
      <c r="H26" s="45"/>
      <c r="I26" s="45"/>
      <c r="J26" s="45"/>
      <c r="K26" s="45"/>
      <c r="L26" s="45"/>
      <c r="M26" s="45"/>
      <c r="N26" s="45"/>
      <c r="O26" s="45"/>
      <c r="P26" s="45"/>
      <c r="Q26" s="44"/>
      <c r="R26" s="44"/>
      <c r="S26" s="44"/>
      <c r="T26" s="44"/>
      <c r="U26" s="36"/>
      <c r="V26" s="34"/>
    </row>
    <row r="27" spans="1:46" ht="20.100000000000001" customHeight="1" x14ac:dyDescent="0.15">
      <c r="A27" s="30"/>
      <c r="B27" s="36"/>
      <c r="C27" s="1181" t="s">
        <v>210</v>
      </c>
      <c r="D27" s="1182"/>
      <c r="E27" s="1182"/>
      <c r="F27" s="1182"/>
      <c r="G27" s="1182"/>
      <c r="H27" s="1182"/>
      <c r="I27" s="1182"/>
      <c r="J27" s="1182"/>
      <c r="K27" s="1182"/>
      <c r="L27" s="1182"/>
      <c r="M27" s="1182"/>
      <c r="N27" s="1182"/>
      <c r="O27" s="1182"/>
      <c r="P27" s="1182"/>
      <c r="Q27" s="1182"/>
      <c r="R27" s="1182"/>
      <c r="S27" s="1182"/>
      <c r="T27" s="46"/>
      <c r="U27" s="36"/>
      <c r="V27" s="34"/>
    </row>
    <row r="28" spans="1:46" ht="20.100000000000001" customHeight="1" x14ac:dyDescent="0.15">
      <c r="A28" s="30"/>
      <c r="B28" s="36"/>
      <c r="C28" s="1172" t="s">
        <v>211</v>
      </c>
      <c r="D28" s="1173"/>
      <c r="E28" s="1173"/>
      <c r="F28" s="1173"/>
      <c r="G28" s="1173"/>
      <c r="H28" s="1173"/>
      <c r="I28" s="1173"/>
      <c r="J28" s="1173"/>
      <c r="K28" s="1173"/>
      <c r="L28" s="1173"/>
      <c r="M28" s="1173"/>
      <c r="N28" s="1173"/>
      <c r="O28" s="1173"/>
      <c r="P28" s="1173"/>
      <c r="Q28" s="1173"/>
      <c r="R28" s="1173"/>
      <c r="S28" s="1173"/>
      <c r="T28" s="37"/>
      <c r="U28" s="36"/>
      <c r="V28" s="34"/>
    </row>
    <row r="29" spans="1:46" ht="20.100000000000001" customHeight="1" x14ac:dyDescent="0.15">
      <c r="A29" s="30"/>
      <c r="B29" s="36"/>
      <c r="C29" s="1526" t="s">
        <v>1742</v>
      </c>
      <c r="D29" s="1527"/>
      <c r="E29" s="1527"/>
      <c r="F29" s="1527"/>
      <c r="G29" s="1527"/>
      <c r="H29" s="1527"/>
      <c r="I29" s="1527"/>
      <c r="J29" s="1527"/>
      <c r="K29" s="1527"/>
      <c r="L29" s="1527"/>
      <c r="M29" s="1527"/>
      <c r="N29" s="1527"/>
      <c r="O29" s="1527"/>
      <c r="P29" s="1527"/>
      <c r="Q29" s="1527"/>
      <c r="R29" s="1527"/>
      <c r="S29" s="1527"/>
      <c r="T29" s="1528"/>
      <c r="U29" s="36"/>
      <c r="V29" s="34"/>
    </row>
    <row r="30" spans="1:46" ht="20.100000000000001" customHeight="1" x14ac:dyDescent="0.15">
      <c r="A30" s="30"/>
      <c r="B30" s="36"/>
      <c r="C30" s="1172" t="s">
        <v>1264</v>
      </c>
      <c r="D30" s="1173"/>
      <c r="E30" s="1173"/>
      <c r="F30" s="1173"/>
      <c r="G30" s="1173"/>
      <c r="H30" s="1173"/>
      <c r="I30" s="1173"/>
      <c r="J30" s="1173"/>
      <c r="K30" s="1173"/>
      <c r="L30" s="1173"/>
      <c r="M30" s="1173"/>
      <c r="N30" s="1173"/>
      <c r="O30" s="1173"/>
      <c r="P30" s="1173"/>
      <c r="Q30" s="1173"/>
      <c r="R30" s="1173"/>
      <c r="S30" s="1173"/>
      <c r="T30" s="37"/>
      <c r="U30" s="36"/>
      <c r="V30" s="34"/>
    </row>
    <row r="31" spans="1:46" ht="20.100000000000001" customHeight="1" x14ac:dyDescent="0.15">
      <c r="A31" s="30"/>
      <c r="B31" s="36"/>
      <c r="C31" s="1170" t="s">
        <v>1738</v>
      </c>
      <c r="D31" s="1171"/>
      <c r="E31" s="1171"/>
      <c r="F31" s="1171"/>
      <c r="G31" s="1171"/>
      <c r="H31" s="1171"/>
      <c r="I31" s="1171"/>
      <c r="J31" s="1171"/>
      <c r="K31" s="1171"/>
      <c r="L31" s="1171"/>
      <c r="M31" s="1171"/>
      <c r="N31" s="1171"/>
      <c r="O31" s="1171"/>
      <c r="P31" s="1171"/>
      <c r="Q31" s="1171"/>
      <c r="R31" s="1171"/>
      <c r="S31" s="1171"/>
      <c r="T31" s="37"/>
      <c r="U31" s="36"/>
      <c r="V31" s="34"/>
    </row>
    <row r="32" spans="1:46" ht="20.100000000000001" customHeight="1" x14ac:dyDescent="0.15">
      <c r="A32" s="30"/>
      <c r="B32" s="36"/>
      <c r="C32" s="1170" t="s">
        <v>1960</v>
      </c>
      <c r="D32" s="1171"/>
      <c r="E32" s="1171"/>
      <c r="F32" s="1171"/>
      <c r="G32" s="1171"/>
      <c r="H32" s="1171"/>
      <c r="I32" s="1171"/>
      <c r="J32" s="1171"/>
      <c r="K32" s="1171"/>
      <c r="L32" s="1171"/>
      <c r="M32" s="1171"/>
      <c r="N32" s="1171"/>
      <c r="O32" s="1171"/>
      <c r="P32" s="1171"/>
      <c r="Q32" s="1171"/>
      <c r="R32" s="1171"/>
      <c r="S32" s="1171"/>
      <c r="T32" s="37"/>
      <c r="U32" s="36"/>
      <c r="V32" s="34"/>
    </row>
    <row r="33" spans="1:46" ht="17.45" customHeight="1" x14ac:dyDescent="0.15">
      <c r="A33" s="30"/>
      <c r="B33" s="36"/>
      <c r="C33" s="47" t="s">
        <v>104</v>
      </c>
      <c r="D33" s="1522" t="s">
        <v>103</v>
      </c>
      <c r="E33" s="1522"/>
      <c r="F33" s="1522"/>
      <c r="G33" s="1522"/>
      <c r="H33" s="1522"/>
      <c r="I33" s="1522"/>
      <c r="J33" s="1522"/>
      <c r="K33" s="1522"/>
      <c r="L33" s="1522"/>
      <c r="M33" s="1522"/>
      <c r="N33" s="1522"/>
      <c r="O33" s="1522"/>
      <c r="P33" s="1522"/>
      <c r="Q33" s="1522"/>
      <c r="R33" s="1522"/>
      <c r="S33" s="1522"/>
      <c r="T33" s="1523"/>
      <c r="U33" s="36"/>
      <c r="V33" s="34"/>
    </row>
    <row r="34" spans="1:46" ht="17.45" customHeight="1" x14ac:dyDescent="0.15">
      <c r="A34" s="30"/>
      <c r="B34" s="36"/>
      <c r="C34" s="48"/>
      <c r="D34" s="1524"/>
      <c r="E34" s="1524"/>
      <c r="F34" s="1524"/>
      <c r="G34" s="1524"/>
      <c r="H34" s="1524"/>
      <c r="I34" s="1524"/>
      <c r="J34" s="1524"/>
      <c r="K34" s="1524"/>
      <c r="L34" s="1524"/>
      <c r="M34" s="1524"/>
      <c r="N34" s="1524"/>
      <c r="O34" s="1524"/>
      <c r="P34" s="1524"/>
      <c r="Q34" s="1524"/>
      <c r="R34" s="1524"/>
      <c r="S34" s="1524"/>
      <c r="T34" s="1525"/>
      <c r="U34" s="36"/>
      <c r="V34" s="34"/>
    </row>
    <row r="35" spans="1:46" ht="20.100000000000001" customHeight="1" thickBot="1" x14ac:dyDescent="0.2">
      <c r="A35" s="49"/>
      <c r="B35" s="50"/>
      <c r="C35" s="51"/>
      <c r="D35" s="52"/>
      <c r="E35" s="52"/>
      <c r="F35" s="52"/>
      <c r="G35" s="52"/>
      <c r="H35" s="52"/>
      <c r="I35" s="52"/>
      <c r="J35" s="52"/>
      <c r="K35" s="52"/>
      <c r="L35" s="52"/>
      <c r="M35" s="52"/>
      <c r="N35" s="52"/>
      <c r="O35" s="52"/>
      <c r="P35" s="52"/>
      <c r="Q35" s="52"/>
      <c r="R35" s="52"/>
      <c r="S35" s="52"/>
      <c r="T35" s="52"/>
      <c r="U35" s="50"/>
      <c r="V35" s="53"/>
    </row>
    <row r="36" spans="1:46" ht="20.100000000000001" customHeight="1" x14ac:dyDescent="0.15">
      <c r="A36" s="78" t="s">
        <v>462</v>
      </c>
      <c r="B36" s="55" t="s">
        <v>1781</v>
      </c>
      <c r="C36" s="56"/>
      <c r="D36" s="427"/>
      <c r="E36" s="427"/>
      <c r="F36" s="427"/>
      <c r="G36" s="427"/>
      <c r="H36" s="427"/>
      <c r="I36" s="427"/>
      <c r="J36" s="427"/>
      <c r="K36" s="427"/>
      <c r="L36" s="427"/>
      <c r="M36" s="427"/>
      <c r="N36" s="427"/>
      <c r="O36" s="427"/>
      <c r="P36" s="427"/>
      <c r="Q36" s="427"/>
      <c r="R36" s="427"/>
      <c r="S36" s="427"/>
      <c r="T36" s="427"/>
      <c r="U36" s="55"/>
    </row>
    <row r="37" spans="1:46" ht="20.100000000000001" customHeight="1" x14ac:dyDescent="0.15">
      <c r="A37" s="1076" t="s">
        <v>461</v>
      </c>
      <c r="B37" s="1076"/>
      <c r="C37" s="1076"/>
      <c r="D37" s="1076"/>
      <c r="E37" s="1076"/>
      <c r="F37" s="1076"/>
      <c r="G37" s="1076"/>
      <c r="H37" s="1076"/>
      <c r="I37" s="1076"/>
      <c r="J37" s="1076"/>
      <c r="K37" s="1076"/>
      <c r="L37" s="1076"/>
      <c r="M37" s="1076"/>
      <c r="N37" s="1076"/>
      <c r="O37" s="1076"/>
      <c r="P37" s="1076"/>
      <c r="Q37" s="1076"/>
      <c r="R37" s="1076"/>
      <c r="S37" s="1076"/>
      <c r="T37" s="1076"/>
      <c r="U37" s="1076"/>
      <c r="V37" s="1076"/>
    </row>
    <row r="38" spans="1:46" ht="80.099999999999994" customHeight="1" x14ac:dyDescent="0.15">
      <c r="A38" s="1077"/>
      <c r="B38" s="1077"/>
      <c r="C38" s="1077"/>
      <c r="D38" s="1077"/>
      <c r="E38" s="1077"/>
      <c r="F38" s="1077"/>
      <c r="G38" s="1077"/>
      <c r="H38" s="1077"/>
      <c r="I38" s="1077"/>
      <c r="J38" s="1077"/>
      <c r="K38" s="1077"/>
      <c r="L38" s="1077"/>
      <c r="M38" s="1077"/>
      <c r="N38" s="1077"/>
      <c r="O38" s="1077"/>
      <c r="P38" s="1077"/>
      <c r="Q38" s="1077"/>
      <c r="R38" s="1077"/>
      <c r="S38" s="1077"/>
      <c r="T38" s="1077"/>
      <c r="U38" s="1077"/>
      <c r="V38" s="1077"/>
    </row>
    <row r="39" spans="1:46" ht="15" customHeight="1" x14ac:dyDescent="0.15">
      <c r="A39" s="98"/>
      <c r="B39" s="98"/>
      <c r="C39" s="98"/>
      <c r="D39" s="98"/>
      <c r="E39" s="98"/>
      <c r="F39" s="98"/>
      <c r="G39" s="98"/>
      <c r="H39" s="98"/>
      <c r="I39" s="98"/>
      <c r="J39" s="98"/>
      <c r="K39" s="98"/>
      <c r="L39" s="98"/>
      <c r="M39" s="98"/>
      <c r="N39" s="98"/>
      <c r="O39" s="98"/>
      <c r="P39" s="98"/>
      <c r="Q39" s="98"/>
      <c r="R39" s="98"/>
      <c r="S39" s="98"/>
      <c r="T39" s="98"/>
      <c r="U39" s="98"/>
      <c r="V39" s="98"/>
    </row>
    <row r="40" spans="1:46" s="36" customFormat="1" ht="27" customHeight="1" x14ac:dyDescent="0.15">
      <c r="A40" s="55" t="s">
        <v>460</v>
      </c>
      <c r="B40" s="26"/>
      <c r="C40" s="26"/>
      <c r="D40" s="453"/>
      <c r="E40" s="453"/>
      <c r="F40" s="453"/>
      <c r="G40" s="453"/>
      <c r="W40" s="381"/>
      <c r="X40" s="381"/>
      <c r="Y40" s="381"/>
      <c r="Z40" s="381"/>
      <c r="AA40" s="381"/>
      <c r="AB40" s="381"/>
      <c r="AC40" s="381"/>
      <c r="AD40" s="381"/>
      <c r="AE40" s="381"/>
      <c r="AF40" s="381"/>
      <c r="AG40" s="381"/>
      <c r="AH40" s="381"/>
      <c r="AI40" s="381"/>
      <c r="AJ40" s="381"/>
      <c r="AK40" s="381"/>
      <c r="AL40" s="381"/>
      <c r="AM40" s="381"/>
      <c r="AN40" s="381"/>
      <c r="AO40" s="381"/>
      <c r="AP40" s="381"/>
      <c r="AQ40" s="381"/>
      <c r="AR40" s="381"/>
      <c r="AS40" s="381"/>
      <c r="AT40" s="381"/>
    </row>
    <row r="41" spans="1:46" ht="27" customHeight="1" x14ac:dyDescent="0.15">
      <c r="A41" s="1220" t="s">
        <v>68</v>
      </c>
      <c r="B41" s="1220"/>
      <c r="C41" s="1220"/>
      <c r="D41" s="1216" t="str">
        <f>IF(D44="","",VLOOKUP(D44,会員名簿!A2:B49,2,0))</f>
        <v/>
      </c>
      <c r="E41" s="1216"/>
      <c r="F41" s="1216"/>
      <c r="G41" s="1216"/>
      <c r="H41" s="1369" t="s">
        <v>1295</v>
      </c>
      <c r="I41" s="1282"/>
      <c r="J41" s="1282"/>
      <c r="K41" s="1282"/>
      <c r="L41" s="1282"/>
      <c r="M41" s="1282"/>
      <c r="N41" s="1282"/>
      <c r="O41" s="1282"/>
      <c r="P41" s="1282"/>
      <c r="Q41" s="1282"/>
      <c r="R41" s="1282"/>
      <c r="S41" s="1282"/>
      <c r="T41" s="1282"/>
      <c r="U41" s="1282"/>
      <c r="V41" s="1282"/>
    </row>
    <row r="42" spans="1:46" ht="13.5" customHeight="1" x14ac:dyDescent="0.15">
      <c r="A42" s="195"/>
      <c r="B42" s="38"/>
      <c r="C42" s="38"/>
      <c r="D42" s="159"/>
      <c r="E42" s="159"/>
      <c r="F42" s="159"/>
      <c r="G42" s="160"/>
      <c r="H42" s="160"/>
      <c r="I42" s="160"/>
      <c r="J42" s="160"/>
      <c r="K42" s="36"/>
      <c r="L42" s="36"/>
      <c r="M42" s="36"/>
      <c r="N42" s="36"/>
      <c r="O42" s="36"/>
      <c r="P42" s="36"/>
      <c r="Q42" s="36"/>
      <c r="R42" s="36"/>
      <c r="S42" s="36"/>
      <c r="T42" s="36"/>
      <c r="U42" s="36"/>
      <c r="V42" s="36"/>
    </row>
    <row r="43" spans="1:46" ht="27" customHeight="1" x14ac:dyDescent="0.15">
      <c r="A43" s="840" t="s">
        <v>194</v>
      </c>
      <c r="B43" s="840"/>
      <c r="C43" s="840"/>
      <c r="D43" s="1190"/>
      <c r="E43" s="1191"/>
      <c r="F43" s="1191"/>
      <c r="G43" s="1191"/>
      <c r="H43" s="1191"/>
      <c r="I43" s="1191"/>
      <c r="J43" s="1192"/>
      <c r="K43" s="865" t="s">
        <v>715</v>
      </c>
      <c r="L43" s="866"/>
      <c r="M43" s="866"/>
      <c r="N43" s="866"/>
      <c r="O43" s="866"/>
      <c r="P43" s="866"/>
      <c r="Q43" s="866"/>
      <c r="R43" s="866"/>
      <c r="S43" s="866"/>
      <c r="T43" s="866"/>
      <c r="U43" s="866"/>
      <c r="V43" s="866"/>
    </row>
    <row r="44" spans="1:46" ht="27" customHeight="1" x14ac:dyDescent="0.15">
      <c r="A44" s="1372" t="s">
        <v>195</v>
      </c>
      <c r="B44" s="1373"/>
      <c r="C44" s="1374"/>
      <c r="D44" s="1190"/>
      <c r="E44" s="1191"/>
      <c r="F44" s="1191"/>
      <c r="G44" s="1191"/>
      <c r="H44" s="1191"/>
      <c r="I44" s="1191"/>
      <c r="J44" s="1192"/>
      <c r="K44" s="1221" t="s">
        <v>1513</v>
      </c>
      <c r="L44" s="1221"/>
      <c r="M44" s="1221"/>
      <c r="N44" s="1221"/>
      <c r="O44" s="1221"/>
      <c r="P44" s="1221"/>
      <c r="Q44" s="1221"/>
      <c r="R44" s="1221"/>
      <c r="S44" s="1221"/>
      <c r="T44" s="1221"/>
      <c r="U44" s="1221"/>
      <c r="V44" s="1221"/>
    </row>
    <row r="45" spans="1:46" s="55" customFormat="1" ht="15" customHeight="1" x14ac:dyDescent="0.15">
      <c r="A45" s="67"/>
      <c r="B45" s="67"/>
      <c r="C45" s="67"/>
      <c r="D45" s="460"/>
      <c r="E45" s="460"/>
      <c r="F45" s="460"/>
      <c r="G45" s="453"/>
      <c r="H45" s="453"/>
      <c r="I45" s="453"/>
      <c r="J45" s="453"/>
      <c r="K45" s="1221"/>
      <c r="L45" s="1221"/>
      <c r="M45" s="1221"/>
      <c r="N45" s="1221"/>
      <c r="O45" s="1221"/>
      <c r="P45" s="1221"/>
      <c r="Q45" s="1221"/>
      <c r="R45" s="1221"/>
      <c r="S45" s="1221"/>
      <c r="T45" s="1221"/>
      <c r="U45" s="1221"/>
      <c r="V45" s="1221"/>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2"/>
      <c r="AS45" s="382"/>
      <c r="AT45" s="382"/>
    </row>
    <row r="46" spans="1:46" ht="27" customHeight="1" x14ac:dyDescent="0.15">
      <c r="A46" s="840" t="s">
        <v>196</v>
      </c>
      <c r="B46" s="840"/>
      <c r="C46" s="840"/>
      <c r="D46" s="1177"/>
      <c r="E46" s="1184"/>
      <c r="F46" s="1184"/>
      <c r="G46" s="1184"/>
      <c r="H46" s="1184"/>
      <c r="I46" s="1184"/>
      <c r="J46" s="1178"/>
      <c r="L46" s="55" t="s">
        <v>250</v>
      </c>
      <c r="O46" s="55"/>
      <c r="P46" s="55"/>
      <c r="Q46" s="55"/>
      <c r="R46" s="55"/>
    </row>
    <row r="47" spans="1:46" ht="15" customHeight="1" x14ac:dyDescent="0.15">
      <c r="A47" s="55"/>
      <c r="B47" s="55"/>
      <c r="C47" s="55"/>
      <c r="O47" s="55"/>
      <c r="P47" s="55"/>
      <c r="Q47" s="55"/>
      <c r="R47" s="55"/>
      <c r="S47" s="55"/>
    </row>
    <row r="48" spans="1:46" ht="27" customHeight="1" x14ac:dyDescent="0.15">
      <c r="A48" s="840" t="s">
        <v>247</v>
      </c>
      <c r="B48" s="840"/>
      <c r="C48" s="840"/>
      <c r="D48" s="68" t="s">
        <v>70</v>
      </c>
      <c r="E48" s="1179"/>
      <c r="F48" s="1180"/>
      <c r="G48" s="55" t="s">
        <v>69</v>
      </c>
      <c r="O48" s="55"/>
      <c r="P48" s="55"/>
      <c r="Q48" s="55"/>
      <c r="R48" s="55"/>
    </row>
    <row r="49" spans="1:22" ht="15" customHeight="1" x14ac:dyDescent="0.15">
      <c r="A49" s="55"/>
      <c r="B49" s="55"/>
      <c r="C49" s="55"/>
      <c r="O49" s="55"/>
      <c r="P49" s="55"/>
      <c r="Q49" s="55"/>
      <c r="R49" s="55"/>
    </row>
    <row r="50" spans="1:22" ht="27" customHeight="1" x14ac:dyDescent="0.15">
      <c r="A50" s="840" t="s">
        <v>248</v>
      </c>
      <c r="B50" s="840"/>
      <c r="C50" s="840"/>
      <c r="D50" s="41" t="s">
        <v>1962</v>
      </c>
      <c r="E50" s="41"/>
      <c r="F50" s="41" t="s">
        <v>1963</v>
      </c>
      <c r="G50" s="41"/>
      <c r="H50" s="69"/>
      <c r="I50" s="1177"/>
      <c r="J50" s="1178"/>
      <c r="K50" s="465" t="s">
        <v>107</v>
      </c>
      <c r="O50" s="55"/>
      <c r="P50" s="55"/>
      <c r="Q50" s="55"/>
      <c r="R50" s="55"/>
    </row>
    <row r="51" spans="1:22" ht="15" customHeight="1" x14ac:dyDescent="0.15">
      <c r="A51" s="55"/>
      <c r="B51" s="55"/>
      <c r="C51" s="55"/>
      <c r="O51" s="55"/>
      <c r="P51" s="55"/>
      <c r="Q51" s="55"/>
      <c r="R51" s="55"/>
    </row>
    <row r="52" spans="1:22" ht="27" customHeight="1" x14ac:dyDescent="0.15">
      <c r="A52" s="840" t="s">
        <v>249</v>
      </c>
      <c r="B52" s="840"/>
      <c r="C52" s="840"/>
      <c r="D52" s="1176"/>
      <c r="E52" s="1176"/>
      <c r="F52" s="1176"/>
      <c r="G52" s="1176"/>
      <c r="H52" s="1176"/>
      <c r="I52" s="1176"/>
      <c r="J52" s="1176"/>
      <c r="K52" s="28"/>
      <c r="L52" s="28" t="s">
        <v>251</v>
      </c>
      <c r="M52" s="28"/>
      <c r="O52" s="55"/>
      <c r="P52" s="55"/>
      <c r="Q52" s="55"/>
      <c r="R52" s="55"/>
    </row>
    <row r="53" spans="1:22" ht="27" hidden="1" customHeight="1" x14ac:dyDescent="0.15">
      <c r="A53" s="840" t="s">
        <v>598</v>
      </c>
      <c r="B53" s="840"/>
      <c r="C53" s="840"/>
      <c r="D53" s="1183"/>
      <c r="E53" s="1183"/>
      <c r="F53" s="1183"/>
      <c r="G53" s="1183"/>
      <c r="H53" s="1183"/>
      <c r="I53" s="128" t="s">
        <v>597</v>
      </c>
      <c r="J53" s="99"/>
      <c r="K53" s="877" t="s">
        <v>1273</v>
      </c>
      <c r="L53" s="877"/>
      <c r="M53" s="877"/>
      <c r="N53" s="877"/>
      <c r="O53" s="877"/>
      <c r="P53" s="877"/>
      <c r="Q53" s="877"/>
      <c r="R53" s="877"/>
      <c r="S53" s="877"/>
      <c r="T53" s="877"/>
      <c r="U53" s="877"/>
      <c r="V53" s="877"/>
    </row>
    <row r="54" spans="1:22" ht="15" customHeight="1" x14ac:dyDescent="0.15">
      <c r="A54" s="55"/>
      <c r="B54" s="55"/>
      <c r="C54" s="55"/>
      <c r="O54" s="55"/>
      <c r="P54" s="55"/>
      <c r="Q54" s="55"/>
      <c r="R54" s="55"/>
      <c r="S54" s="55"/>
    </row>
    <row r="55" spans="1:22" ht="27" customHeight="1" x14ac:dyDescent="0.15">
      <c r="A55" s="840" t="s">
        <v>1340</v>
      </c>
      <c r="B55" s="840"/>
      <c r="C55" s="840"/>
      <c r="O55" s="55"/>
      <c r="P55" s="55"/>
      <c r="Q55" s="55"/>
      <c r="R55" s="55"/>
      <c r="S55" s="55"/>
    </row>
    <row r="56" spans="1:22" x14ac:dyDescent="0.15">
      <c r="A56" s="55" t="s">
        <v>79</v>
      </c>
      <c r="B56" s="55" t="s">
        <v>1342</v>
      </c>
      <c r="C56" s="55"/>
      <c r="O56" s="55"/>
      <c r="P56" s="55"/>
      <c r="Q56" s="55"/>
      <c r="R56" s="55"/>
      <c r="S56" s="55"/>
    </row>
    <row r="57" spans="1:22" ht="15" customHeight="1" x14ac:dyDescent="0.15">
      <c r="A57" s="55"/>
      <c r="B57" s="55"/>
      <c r="C57" s="55"/>
      <c r="O57" s="55"/>
      <c r="P57" s="55"/>
      <c r="Q57" s="55"/>
      <c r="R57" s="55"/>
      <c r="S57" s="55"/>
    </row>
    <row r="58" spans="1:22" ht="27" customHeight="1" x14ac:dyDescent="0.15">
      <c r="A58" s="55"/>
      <c r="B58" s="728" t="s">
        <v>254</v>
      </c>
      <c r="C58" s="729"/>
      <c r="D58" s="785"/>
      <c r="F58" s="728" t="s">
        <v>255</v>
      </c>
      <c r="G58" s="729"/>
      <c r="H58" s="785"/>
      <c r="J58" s="731" t="s">
        <v>3</v>
      </c>
      <c r="K58" s="731"/>
      <c r="L58" s="731"/>
      <c r="O58" s="55"/>
      <c r="P58" s="55"/>
      <c r="Q58" s="55"/>
    </row>
    <row r="59" spans="1:22" ht="27" customHeight="1" x14ac:dyDescent="0.15">
      <c r="A59" s="55"/>
      <c r="B59" s="732"/>
      <c r="C59" s="732"/>
      <c r="D59" s="461" t="s">
        <v>71</v>
      </c>
      <c r="E59" s="445" t="s">
        <v>1</v>
      </c>
      <c r="F59" s="732"/>
      <c r="G59" s="732"/>
      <c r="H59" s="461" t="s">
        <v>0</v>
      </c>
      <c r="I59" s="445" t="s">
        <v>2</v>
      </c>
      <c r="J59" s="1186" t="str">
        <f>IF(B59+F59=0,"",B59+F59)</f>
        <v/>
      </c>
      <c r="K59" s="1126"/>
      <c r="L59" s="461" t="s">
        <v>0</v>
      </c>
      <c r="M59" s="449"/>
      <c r="O59" s="55"/>
      <c r="P59" s="55"/>
      <c r="Q59" s="55"/>
    </row>
    <row r="60" spans="1:22" ht="15" customHeight="1" x14ac:dyDescent="0.15">
      <c r="A60" s="55"/>
      <c r="B60" s="70"/>
      <c r="C60" s="55"/>
      <c r="D60" s="58"/>
      <c r="E60" s="58"/>
      <c r="F60" s="453"/>
      <c r="G60" s="453"/>
      <c r="H60" s="58"/>
      <c r="I60" s="58"/>
      <c r="J60" s="453"/>
      <c r="K60" s="453"/>
      <c r="L60" s="59"/>
      <c r="M60" s="453"/>
      <c r="N60" s="453"/>
      <c r="O60" s="449"/>
      <c r="P60" s="55"/>
      <c r="Q60" s="55"/>
      <c r="R60" s="55"/>
      <c r="S60" s="55"/>
    </row>
    <row r="61" spans="1:22" ht="27" customHeight="1" x14ac:dyDescent="0.15">
      <c r="A61" s="700" t="s">
        <v>1341</v>
      </c>
      <c r="B61" s="701"/>
      <c r="C61" s="701"/>
      <c r="D61" s="701"/>
      <c r="E61" s="702"/>
      <c r="M61" s="54"/>
      <c r="N61" s="54"/>
    </row>
    <row r="62" spans="1:22" x14ac:dyDescent="0.15">
      <c r="A62" s="55" t="s">
        <v>79</v>
      </c>
      <c r="B62" s="55" t="s">
        <v>78</v>
      </c>
      <c r="C62" s="55"/>
      <c r="O62" s="55"/>
      <c r="P62" s="55"/>
      <c r="Q62" s="55"/>
      <c r="R62" s="55"/>
      <c r="S62" s="55"/>
    </row>
    <row r="63" spans="1:22" x14ac:dyDescent="0.15">
      <c r="A63" s="54" t="s">
        <v>256</v>
      </c>
      <c r="B63" s="54" t="s">
        <v>1343</v>
      </c>
      <c r="C63" s="55"/>
      <c r="O63" s="55"/>
      <c r="P63" s="55"/>
      <c r="Q63" s="55"/>
      <c r="R63" s="55"/>
      <c r="S63" s="55"/>
    </row>
    <row r="64" spans="1:22" x14ac:dyDescent="0.15">
      <c r="A64" s="55" t="s">
        <v>79</v>
      </c>
      <c r="B64" s="1307" t="s">
        <v>463</v>
      </c>
      <c r="C64" s="1307"/>
      <c r="D64" s="1307"/>
      <c r="E64" s="1307"/>
      <c r="F64" s="1307"/>
      <c r="G64" s="1307"/>
      <c r="H64" s="1307"/>
      <c r="I64" s="1307"/>
      <c r="J64" s="1307"/>
      <c r="K64" s="1307"/>
      <c r="L64" s="1307"/>
      <c r="M64" s="1307"/>
      <c r="N64" s="1307"/>
      <c r="O64" s="1307"/>
      <c r="P64" s="1307"/>
      <c r="Q64" s="1307"/>
      <c r="R64" s="1307"/>
      <c r="S64" s="1307"/>
      <c r="T64" s="1307"/>
    </row>
    <row r="65" spans="1:25" x14ac:dyDescent="0.15">
      <c r="A65" s="55"/>
      <c r="B65" s="1307"/>
      <c r="C65" s="1307"/>
      <c r="D65" s="1307"/>
      <c r="E65" s="1307"/>
      <c r="F65" s="1307"/>
      <c r="G65" s="1307"/>
      <c r="H65" s="1307"/>
      <c r="I65" s="1307"/>
      <c r="J65" s="1307"/>
      <c r="K65" s="1307"/>
      <c r="L65" s="1307"/>
      <c r="M65" s="1307"/>
      <c r="N65" s="1307"/>
      <c r="O65" s="1307"/>
      <c r="P65" s="1307"/>
      <c r="Q65" s="1307"/>
      <c r="R65" s="1307"/>
      <c r="S65" s="1307"/>
      <c r="T65" s="1307"/>
    </row>
    <row r="66" spans="1:25" ht="14.25" thickBot="1" x14ac:dyDescent="0.2">
      <c r="A66" s="55"/>
      <c r="B66" s="55"/>
      <c r="C66" s="55"/>
      <c r="O66" s="55"/>
      <c r="P66" s="55"/>
      <c r="Q66" s="55"/>
      <c r="R66" s="55"/>
      <c r="S66" s="55"/>
      <c r="T66" s="55"/>
      <c r="U66" s="55"/>
    </row>
    <row r="67" spans="1:25" ht="27" customHeight="1" thickTop="1" x14ac:dyDescent="0.15">
      <c r="A67" s="55"/>
      <c r="B67" s="1212" t="s">
        <v>266</v>
      </c>
      <c r="C67" s="1213"/>
      <c r="D67" s="1213"/>
      <c r="E67" s="1214"/>
      <c r="G67" s="731" t="s">
        <v>253</v>
      </c>
      <c r="H67" s="731"/>
      <c r="I67" s="731"/>
      <c r="J67" s="731"/>
      <c r="K67" s="453"/>
      <c r="L67" s="1185" t="s">
        <v>268</v>
      </c>
      <c r="M67" s="729"/>
      <c r="N67" s="729"/>
      <c r="O67" s="785"/>
      <c r="P67" s="453"/>
      <c r="Q67" s="453"/>
      <c r="R67" s="728" t="s">
        <v>267</v>
      </c>
      <c r="S67" s="729"/>
      <c r="T67" s="729"/>
      <c r="U67" s="785"/>
      <c r="V67" s="55"/>
      <c r="W67" s="382"/>
      <c r="X67" s="382"/>
    </row>
    <row r="68" spans="1:25" ht="26.1" customHeight="1" thickBot="1" x14ac:dyDescent="0.2">
      <c r="A68" s="55"/>
      <c r="B68" s="1339"/>
      <c r="C68" s="1340"/>
      <c r="D68" s="1341"/>
      <c r="E68" s="242" t="s">
        <v>80</v>
      </c>
      <c r="F68" s="449" t="s">
        <v>81</v>
      </c>
      <c r="G68" s="1371"/>
      <c r="H68" s="1371"/>
      <c r="I68" s="1371"/>
      <c r="J68" s="199" t="s">
        <v>80</v>
      </c>
      <c r="K68" s="453"/>
      <c r="L68" s="1370"/>
      <c r="M68" s="1370"/>
      <c r="N68" s="1370"/>
      <c r="O68" s="422" t="s">
        <v>71</v>
      </c>
      <c r="P68" s="453"/>
      <c r="Q68" s="453" t="s">
        <v>252</v>
      </c>
      <c r="R68" s="1336" t="str">
        <f>IF(B68+G68=0,"",B68+G68)</f>
        <v/>
      </c>
      <c r="S68" s="1337"/>
      <c r="T68" s="1338"/>
      <c r="U68" s="199" t="s">
        <v>80</v>
      </c>
      <c r="V68" s="55"/>
      <c r="W68" s="382"/>
      <c r="X68" s="382"/>
    </row>
    <row r="69" spans="1:25" ht="26.1" customHeight="1" thickTop="1" x14ac:dyDescent="0.15">
      <c r="A69" s="55"/>
      <c r="B69" s="1513" t="s">
        <v>1321</v>
      </c>
      <c r="C69" s="1513"/>
      <c r="D69" s="1512" t="str">
        <f>IF(B68="","",B68/(B59*365))</f>
        <v/>
      </c>
      <c r="E69" s="1512"/>
      <c r="F69" s="449"/>
      <c r="G69" s="1511" t="s">
        <v>1321</v>
      </c>
      <c r="H69" s="1511"/>
      <c r="I69" s="1510" t="str">
        <f>IF(G68="","",G68/(F59*365))</f>
        <v/>
      </c>
      <c r="J69" s="1510"/>
      <c r="K69" s="453"/>
      <c r="L69" s="353"/>
      <c r="M69" s="353"/>
      <c r="N69" s="353"/>
      <c r="O69" s="453"/>
      <c r="P69" s="453"/>
      <c r="Q69" s="453"/>
      <c r="R69" s="1509" t="s">
        <v>1321</v>
      </c>
      <c r="S69" s="1509"/>
      <c r="T69" s="1508" t="str">
        <f>IF(R68="","",R68/(J59*365))</f>
        <v/>
      </c>
      <c r="U69" s="1508"/>
      <c r="V69" s="55"/>
      <c r="W69" s="382"/>
      <c r="X69" s="382"/>
      <c r="Y69" s="382"/>
    </row>
    <row r="70" spans="1:25" x14ac:dyDescent="0.15">
      <c r="B70" s="449" t="s">
        <v>265</v>
      </c>
      <c r="C70" s="71" t="s">
        <v>1345</v>
      </c>
      <c r="D70" s="449"/>
      <c r="E70" s="449"/>
      <c r="F70" s="449"/>
      <c r="G70" s="66"/>
      <c r="H70" s="66"/>
      <c r="I70" s="449"/>
      <c r="J70" s="449"/>
      <c r="K70" s="72"/>
      <c r="L70" s="72"/>
      <c r="M70" s="72"/>
      <c r="N70" s="66"/>
      <c r="O70" s="55"/>
      <c r="P70" s="55"/>
      <c r="Q70" s="449"/>
      <c r="R70" s="449"/>
      <c r="S70" s="449"/>
      <c r="T70" s="55"/>
    </row>
    <row r="71" spans="1:25" x14ac:dyDescent="0.15">
      <c r="B71" s="449" t="s">
        <v>239</v>
      </c>
      <c r="C71" s="71" t="s">
        <v>270</v>
      </c>
      <c r="D71" s="449"/>
      <c r="E71" s="449"/>
      <c r="F71" s="449"/>
      <c r="G71" s="66"/>
      <c r="H71" s="66"/>
      <c r="I71" s="449"/>
      <c r="J71" s="449"/>
      <c r="K71" s="72"/>
      <c r="L71" s="72"/>
      <c r="M71" s="72"/>
      <c r="N71" s="66"/>
      <c r="O71" s="55"/>
      <c r="P71" s="55"/>
      <c r="Q71" s="449"/>
      <c r="R71" s="449"/>
      <c r="S71" s="449"/>
      <c r="T71" s="55"/>
    </row>
    <row r="72" spans="1:25" ht="15" customHeight="1" x14ac:dyDescent="0.15">
      <c r="A72" s="449"/>
      <c r="B72" s="71"/>
      <c r="C72" s="449"/>
      <c r="D72" s="449"/>
      <c r="E72" s="449"/>
      <c r="F72" s="66"/>
      <c r="G72" s="66"/>
      <c r="H72" s="449"/>
      <c r="I72" s="449"/>
      <c r="J72" s="72"/>
      <c r="K72" s="72"/>
      <c r="L72" s="72"/>
      <c r="M72" s="66"/>
      <c r="O72" s="55"/>
      <c r="P72" s="449"/>
      <c r="Q72" s="449"/>
      <c r="R72" s="449"/>
      <c r="S72" s="55"/>
    </row>
    <row r="73" spans="1:25" ht="27" customHeight="1" x14ac:dyDescent="0.15">
      <c r="A73" s="840" t="s">
        <v>1344</v>
      </c>
      <c r="B73" s="840"/>
      <c r="C73" s="840"/>
      <c r="D73" s="840"/>
      <c r="E73" s="73" t="s">
        <v>244</v>
      </c>
      <c r="O73" s="55"/>
      <c r="P73" s="55"/>
      <c r="Q73" s="55"/>
      <c r="R73" s="55"/>
      <c r="S73" s="55"/>
    </row>
    <row r="74" spans="1:25" ht="15" customHeight="1" thickBot="1" x14ac:dyDescent="0.2">
      <c r="A74" s="55"/>
      <c r="B74" s="55"/>
      <c r="C74" s="55"/>
      <c r="O74" s="55"/>
      <c r="P74" s="55"/>
      <c r="Q74" s="55"/>
      <c r="R74" s="55"/>
      <c r="S74" s="55"/>
    </row>
    <row r="75" spans="1:25" ht="26.1" customHeight="1" thickTop="1" x14ac:dyDescent="0.15">
      <c r="A75" s="55"/>
      <c r="B75" s="1237" t="s">
        <v>93</v>
      </c>
      <c r="C75" s="1238"/>
      <c r="D75" s="1239"/>
      <c r="E75" s="785" t="s">
        <v>54</v>
      </c>
      <c r="F75" s="731"/>
      <c r="G75" s="731" t="s">
        <v>55</v>
      </c>
      <c r="H75" s="731"/>
      <c r="I75" s="731" t="s">
        <v>56</v>
      </c>
      <c r="J75" s="731"/>
      <c r="K75" s="731" t="s">
        <v>57</v>
      </c>
      <c r="L75" s="731"/>
      <c r="M75" s="731" t="s">
        <v>58</v>
      </c>
      <c r="N75" s="731"/>
      <c r="O75" s="731" t="s">
        <v>83</v>
      </c>
      <c r="P75" s="731"/>
      <c r="Q75" s="731"/>
      <c r="R75" s="55"/>
      <c r="S75" s="66"/>
      <c r="T75" s="74"/>
    </row>
    <row r="76" spans="1:25" ht="26.1" customHeight="1" thickBot="1" x14ac:dyDescent="0.2">
      <c r="A76" s="55"/>
      <c r="B76" s="1230" t="str">
        <f>IF(E76+G76+I76+K76+M76=0,"",E76+G76+I76+K76+M76)</f>
        <v/>
      </c>
      <c r="C76" s="1231"/>
      <c r="D76" s="1232"/>
      <c r="E76" s="1217"/>
      <c r="F76" s="748"/>
      <c r="G76" s="732"/>
      <c r="H76" s="732"/>
      <c r="I76" s="732"/>
      <c r="J76" s="732"/>
      <c r="K76" s="732"/>
      <c r="L76" s="732"/>
      <c r="M76" s="732"/>
      <c r="N76" s="732"/>
      <c r="O76" s="1233" t="str">
        <f>IF(B76="","",((E76*1)+(G76*2)+(I76*3)+(K76*4)+(M76*5))/B76)</f>
        <v/>
      </c>
      <c r="P76" s="1233"/>
      <c r="Q76" s="1233"/>
      <c r="R76" s="448" t="s">
        <v>505</v>
      </c>
      <c r="S76" s="66"/>
    </row>
    <row r="77" spans="1:25" ht="15" customHeight="1" thickTop="1" x14ac:dyDescent="0.15">
      <c r="A77" s="55"/>
      <c r="B77" s="55"/>
      <c r="C77" s="55"/>
      <c r="O77" s="55"/>
      <c r="P77" s="55"/>
      <c r="Q77" s="55"/>
      <c r="R77" s="55"/>
      <c r="S77" s="55"/>
    </row>
    <row r="78" spans="1:25" ht="27" customHeight="1" x14ac:dyDescent="0.15">
      <c r="A78" s="700" t="s">
        <v>1346</v>
      </c>
      <c r="B78" s="701"/>
      <c r="C78" s="701"/>
      <c r="D78" s="701"/>
      <c r="E78" s="701"/>
      <c r="F78" s="701"/>
      <c r="G78" s="701"/>
      <c r="H78" s="702"/>
      <c r="I78" s="203" t="s">
        <v>223</v>
      </c>
      <c r="O78" s="55"/>
      <c r="P78" s="55"/>
      <c r="Q78" s="55"/>
      <c r="R78" s="55"/>
      <c r="S78" s="55"/>
    </row>
    <row r="79" spans="1:25" ht="14.25" thickBot="1" x14ac:dyDescent="0.2">
      <c r="A79" s="55"/>
      <c r="B79" s="55"/>
      <c r="C79" s="55"/>
      <c r="O79" s="55"/>
      <c r="P79" s="55"/>
      <c r="Q79" s="55"/>
      <c r="R79" s="55"/>
      <c r="S79" s="55"/>
    </row>
    <row r="80" spans="1:25" ht="26.1" customHeight="1" thickTop="1" x14ac:dyDescent="0.15">
      <c r="A80" s="55"/>
      <c r="B80" s="1237" t="s">
        <v>93</v>
      </c>
      <c r="C80" s="1238"/>
      <c r="D80" s="1239"/>
      <c r="E80" s="785" t="s">
        <v>182</v>
      </c>
      <c r="F80" s="731"/>
      <c r="G80" s="785" t="s">
        <v>168</v>
      </c>
      <c r="H80" s="731"/>
      <c r="I80" s="731" t="s">
        <v>170</v>
      </c>
      <c r="J80" s="731"/>
      <c r="K80" s="731" t="s">
        <v>169</v>
      </c>
      <c r="L80" s="731"/>
      <c r="M80" s="731" t="s">
        <v>171</v>
      </c>
      <c r="N80" s="731"/>
      <c r="O80" s="731" t="s">
        <v>172</v>
      </c>
      <c r="P80" s="731"/>
      <c r="Q80" s="731" t="s">
        <v>173</v>
      </c>
      <c r="R80" s="731"/>
      <c r="S80" s="731" t="s">
        <v>174</v>
      </c>
      <c r="T80" s="731"/>
      <c r="U80" s="66"/>
      <c r="V80" s="74"/>
    </row>
    <row r="81" spans="1:21" ht="26.1" customHeight="1" thickBot="1" x14ac:dyDescent="0.2">
      <c r="A81" s="55"/>
      <c r="B81" s="1230" t="str">
        <f>IF(SUM(E81:T81)=0,"",SUM(E81:T81))</f>
        <v/>
      </c>
      <c r="C81" s="1231"/>
      <c r="D81" s="1232"/>
      <c r="E81" s="1217"/>
      <c r="F81" s="1040"/>
      <c r="G81" s="747"/>
      <c r="H81" s="748"/>
      <c r="I81" s="732"/>
      <c r="J81" s="732"/>
      <c r="K81" s="732"/>
      <c r="L81" s="732"/>
      <c r="M81" s="732"/>
      <c r="N81" s="732"/>
      <c r="O81" s="732"/>
      <c r="P81" s="732"/>
      <c r="Q81" s="732"/>
      <c r="R81" s="732"/>
      <c r="S81" s="732"/>
      <c r="T81" s="732"/>
      <c r="U81" s="70" t="s">
        <v>505</v>
      </c>
    </row>
    <row r="82" spans="1:21" ht="13.5" customHeight="1" thickTop="1" x14ac:dyDescent="0.15">
      <c r="A82" s="55"/>
      <c r="B82" s="55"/>
      <c r="C82" s="55"/>
      <c r="O82" s="55"/>
      <c r="P82" s="55"/>
      <c r="S82" s="55"/>
    </row>
    <row r="83" spans="1:21" ht="27" customHeight="1" x14ac:dyDescent="0.15">
      <c r="A83" s="840" t="s">
        <v>1347</v>
      </c>
      <c r="B83" s="840"/>
      <c r="C83" s="840"/>
      <c r="D83" s="840"/>
      <c r="E83" s="840"/>
      <c r="F83" s="840"/>
      <c r="G83" s="55" t="s">
        <v>602</v>
      </c>
      <c r="O83" s="55"/>
      <c r="P83" s="55"/>
      <c r="Q83" s="55"/>
      <c r="R83" s="55"/>
      <c r="S83" s="55"/>
    </row>
    <row r="84" spans="1:21" ht="14.25" thickBot="1" x14ac:dyDescent="0.2">
      <c r="A84" s="55"/>
      <c r="B84" s="55"/>
      <c r="C84" s="55"/>
      <c r="O84" s="55"/>
      <c r="P84" s="55"/>
      <c r="Q84" s="55"/>
      <c r="R84" s="55"/>
      <c r="S84" s="55"/>
    </row>
    <row r="85" spans="1:21" ht="39.950000000000003" customHeight="1" thickTop="1" x14ac:dyDescent="0.15">
      <c r="A85" s="55"/>
      <c r="B85" s="1226" t="s">
        <v>93</v>
      </c>
      <c r="C85" s="1227"/>
      <c r="D85" s="1228"/>
      <c r="E85" s="1246" t="s">
        <v>84</v>
      </c>
      <c r="F85" s="1031"/>
      <c r="G85" s="1032"/>
      <c r="H85" s="798" t="s">
        <v>85</v>
      </c>
      <c r="I85" s="1037"/>
      <c r="J85" s="1038"/>
      <c r="K85" s="1036" t="s">
        <v>59</v>
      </c>
      <c r="L85" s="1037"/>
      <c r="M85" s="1038"/>
      <c r="N85" s="1036" t="s">
        <v>60</v>
      </c>
      <c r="O85" s="1037"/>
      <c r="P85" s="1038"/>
      <c r="Q85" s="1036" t="s">
        <v>61</v>
      </c>
      <c r="R85" s="1037"/>
      <c r="S85" s="1038"/>
    </row>
    <row r="86" spans="1:21" ht="26.1" customHeight="1" thickBot="1" x14ac:dyDescent="0.2">
      <c r="A86" s="55"/>
      <c r="B86" s="1234" t="str">
        <f>IF(E86+H86+K86+N86+Q86=0,"",E86+H86+K86+N86+Q86)</f>
        <v/>
      </c>
      <c r="C86" s="1235"/>
      <c r="D86" s="1236"/>
      <c r="E86" s="1040"/>
      <c r="F86" s="1040"/>
      <c r="G86" s="748"/>
      <c r="H86" s="747"/>
      <c r="I86" s="1040"/>
      <c r="J86" s="748"/>
      <c r="K86" s="747"/>
      <c r="L86" s="1040"/>
      <c r="M86" s="748"/>
      <c r="N86" s="747"/>
      <c r="O86" s="1040"/>
      <c r="P86" s="748"/>
      <c r="Q86" s="747"/>
      <c r="R86" s="1040"/>
      <c r="S86" s="748"/>
      <c r="T86" s="1242" t="s">
        <v>501</v>
      </c>
      <c r="U86" s="1201"/>
    </row>
    <row r="87" spans="1:21" ht="13.5" customHeight="1" thickTop="1" x14ac:dyDescent="0.15">
      <c r="B87" s="449" t="s">
        <v>82</v>
      </c>
      <c r="C87" s="763" t="s">
        <v>1740</v>
      </c>
      <c r="D87" s="763"/>
      <c r="E87" s="763"/>
      <c r="F87" s="763"/>
      <c r="G87" s="763"/>
      <c r="H87" s="763"/>
      <c r="I87" s="763"/>
      <c r="J87" s="763"/>
      <c r="K87" s="763"/>
      <c r="L87" s="763"/>
      <c r="M87" s="763"/>
      <c r="N87" s="763"/>
      <c r="O87" s="763"/>
      <c r="P87" s="763"/>
      <c r="Q87" s="763"/>
      <c r="R87" s="763"/>
      <c r="S87" s="763"/>
      <c r="T87" s="763"/>
      <c r="U87" s="763"/>
    </row>
    <row r="88" spans="1:21" ht="13.5" customHeight="1" x14ac:dyDescent="0.15">
      <c r="B88" s="55"/>
      <c r="C88" s="763"/>
      <c r="D88" s="763"/>
      <c r="E88" s="763"/>
      <c r="F88" s="763"/>
      <c r="G88" s="763"/>
      <c r="H88" s="763"/>
      <c r="I88" s="763"/>
      <c r="J88" s="763"/>
      <c r="K88" s="763"/>
      <c r="L88" s="763"/>
      <c r="M88" s="763"/>
      <c r="N88" s="763"/>
      <c r="O88" s="763"/>
      <c r="P88" s="763"/>
      <c r="Q88" s="763"/>
      <c r="R88" s="763"/>
      <c r="S88" s="763"/>
      <c r="T88" s="763"/>
      <c r="U88" s="763"/>
    </row>
    <row r="89" spans="1:21" ht="13.5" customHeight="1" x14ac:dyDescent="0.15">
      <c r="A89" s="55"/>
      <c r="B89" s="55"/>
      <c r="C89" s="55"/>
      <c r="O89" s="55"/>
      <c r="P89" s="55"/>
      <c r="Q89" s="55"/>
      <c r="R89" s="55"/>
      <c r="S89" s="55"/>
    </row>
    <row r="90" spans="1:21" ht="27" customHeight="1" x14ac:dyDescent="0.15">
      <c r="A90" s="840" t="s">
        <v>1348</v>
      </c>
      <c r="B90" s="840"/>
      <c r="C90" s="840"/>
      <c r="D90" s="840"/>
      <c r="E90" s="840"/>
      <c r="F90" s="840"/>
      <c r="G90" s="55" t="s">
        <v>1274</v>
      </c>
      <c r="O90" s="55"/>
      <c r="P90" s="55"/>
      <c r="Q90" s="55"/>
      <c r="R90" s="55"/>
      <c r="S90" s="55"/>
    </row>
    <row r="91" spans="1:21" x14ac:dyDescent="0.15">
      <c r="A91" s="55"/>
      <c r="B91" s="55"/>
      <c r="C91" s="55"/>
      <c r="O91" s="55"/>
      <c r="P91" s="55"/>
      <c r="Q91" s="55"/>
      <c r="R91" s="55"/>
      <c r="S91" s="55"/>
    </row>
    <row r="92" spans="1:21" ht="39.950000000000003" customHeight="1" x14ac:dyDescent="0.15">
      <c r="A92" s="55"/>
      <c r="B92" s="731" t="s">
        <v>502</v>
      </c>
      <c r="C92" s="731"/>
      <c r="D92" s="731"/>
      <c r="E92" s="1031" t="s">
        <v>1358</v>
      </c>
      <c r="F92" s="1031"/>
      <c r="G92" s="1032"/>
      <c r="H92" s="1033" t="s">
        <v>1350</v>
      </c>
      <c r="I92" s="1034"/>
      <c r="J92" s="1035"/>
      <c r="K92" s="1036" t="s">
        <v>503</v>
      </c>
      <c r="L92" s="1037"/>
      <c r="M92" s="1038"/>
      <c r="N92" s="731" t="s">
        <v>504</v>
      </c>
      <c r="O92" s="731"/>
      <c r="P92" s="731"/>
      <c r="Q92" s="117"/>
      <c r="R92" s="117"/>
      <c r="S92" s="117"/>
    </row>
    <row r="93" spans="1:21" ht="26.1" customHeight="1" x14ac:dyDescent="0.15">
      <c r="A93" s="55"/>
      <c r="B93" s="1039" t="str">
        <f>IF(E93+H93+K93+N93=0,"",E93+H93+K93+N93)</f>
        <v/>
      </c>
      <c r="C93" s="1039"/>
      <c r="D93" s="1039"/>
      <c r="E93" s="1040"/>
      <c r="F93" s="1040"/>
      <c r="G93" s="748"/>
      <c r="H93" s="747"/>
      <c r="I93" s="1040"/>
      <c r="J93" s="748"/>
      <c r="K93" s="747"/>
      <c r="L93" s="1040"/>
      <c r="M93" s="748"/>
      <c r="N93" s="732"/>
      <c r="O93" s="732"/>
      <c r="P93" s="732"/>
      <c r="Q93" s="1200" t="s">
        <v>501</v>
      </c>
      <c r="R93" s="1201"/>
      <c r="S93" s="191"/>
    </row>
    <row r="94" spans="1:21" ht="13.5" customHeight="1" x14ac:dyDescent="0.15">
      <c r="A94" s="55"/>
      <c r="B94" s="58"/>
      <c r="C94" s="58"/>
      <c r="D94" s="58"/>
      <c r="E94" s="58"/>
      <c r="F94" s="58"/>
      <c r="G94" s="58"/>
      <c r="H94" s="58"/>
      <c r="I94" s="58"/>
      <c r="J94" s="58"/>
      <c r="K94" s="58"/>
      <c r="L94" s="58"/>
      <c r="M94" s="58"/>
      <c r="N94" s="58"/>
      <c r="O94" s="58"/>
      <c r="P94" s="58"/>
      <c r="Q94" s="58"/>
      <c r="R94" s="58"/>
      <c r="S94" s="58"/>
      <c r="T94" s="453"/>
      <c r="U94" s="449"/>
    </row>
    <row r="95" spans="1:21" ht="27" customHeight="1" x14ac:dyDescent="0.15">
      <c r="A95" s="840" t="s">
        <v>1349</v>
      </c>
      <c r="B95" s="840"/>
      <c r="C95" s="840"/>
      <c r="D95" s="840"/>
      <c r="E95" s="840"/>
      <c r="F95" s="840"/>
      <c r="O95" s="55"/>
      <c r="P95" s="55"/>
      <c r="Q95" s="55"/>
      <c r="R95" s="55"/>
      <c r="S95" s="55"/>
    </row>
    <row r="96" spans="1:21" ht="13.5" customHeight="1" x14ac:dyDescent="0.15">
      <c r="A96" s="28" t="s">
        <v>647</v>
      </c>
      <c r="B96" s="28" t="s">
        <v>654</v>
      </c>
      <c r="C96" s="28"/>
      <c r="D96" s="28"/>
      <c r="E96" s="28"/>
      <c r="F96" s="28"/>
      <c r="G96" s="58"/>
      <c r="H96" s="58"/>
      <c r="I96" s="58"/>
      <c r="J96" s="58"/>
      <c r="K96" s="58"/>
      <c r="L96" s="58"/>
      <c r="M96" s="58"/>
      <c r="N96" s="58"/>
      <c r="O96" s="58"/>
      <c r="P96" s="58"/>
      <c r="Q96" s="58"/>
      <c r="R96" s="58"/>
      <c r="S96" s="58"/>
      <c r="T96" s="453"/>
      <c r="U96" s="449"/>
    </row>
    <row r="97" spans="1:46" ht="13.5" customHeight="1" x14ac:dyDescent="0.15">
      <c r="A97" s="28" t="s">
        <v>647</v>
      </c>
      <c r="B97" s="28" t="s">
        <v>655</v>
      </c>
      <c r="C97" s="28"/>
      <c r="D97" s="28"/>
      <c r="E97" s="28"/>
      <c r="F97" s="28"/>
      <c r="G97" s="58"/>
      <c r="H97" s="58"/>
      <c r="I97" s="58"/>
      <c r="J97" s="58"/>
      <c r="K97" s="58"/>
      <c r="L97" s="58"/>
      <c r="M97" s="58"/>
      <c r="N97" s="58"/>
      <c r="O97" s="58"/>
      <c r="P97" s="58"/>
      <c r="Q97" s="58"/>
      <c r="R97" s="58"/>
      <c r="S97" s="58"/>
      <c r="T97" s="453"/>
      <c r="U97" s="449"/>
    </row>
    <row r="98" spans="1:46" ht="13.5" customHeight="1" x14ac:dyDescent="0.15">
      <c r="A98" s="28"/>
      <c r="B98" s="1282" t="s">
        <v>1359</v>
      </c>
      <c r="C98" s="1282"/>
      <c r="D98" s="1282"/>
      <c r="E98" s="1282"/>
      <c r="F98" s="1282"/>
      <c r="G98" s="1282"/>
      <c r="H98" s="1282"/>
      <c r="I98" s="1282"/>
      <c r="J98" s="1282"/>
      <c r="K98" s="1282"/>
      <c r="L98" s="1282"/>
      <c r="M98" s="1282"/>
      <c r="N98" s="1282"/>
      <c r="O98" s="1282"/>
      <c r="P98" s="1282"/>
      <c r="Q98" s="1282"/>
      <c r="R98" s="1282"/>
      <c r="S98" s="1282"/>
      <c r="T98" s="1282"/>
      <c r="U98" s="1282"/>
      <c r="V98" s="1282"/>
    </row>
    <row r="99" spans="1:46" ht="26.1" customHeight="1" x14ac:dyDescent="0.15">
      <c r="A99" s="28"/>
      <c r="B99" s="750" t="s">
        <v>1855</v>
      </c>
      <c r="C99" s="1143"/>
      <c r="D99" s="1143"/>
      <c r="E99" s="1143"/>
      <c r="F99" s="1143"/>
      <c r="G99" s="1143"/>
      <c r="H99" s="1143"/>
      <c r="I99" s="1143"/>
      <c r="J99" s="1143"/>
      <c r="K99" s="751"/>
      <c r="L99" s="1143" t="s">
        <v>1854</v>
      </c>
      <c r="M99" s="1143"/>
      <c r="N99" s="1143"/>
      <c r="O99" s="751"/>
      <c r="P99" s="1676" t="s">
        <v>1777</v>
      </c>
      <c r="Q99" s="681"/>
      <c r="R99" s="681"/>
      <c r="S99" s="681"/>
      <c r="T99" s="681"/>
      <c r="U99" s="1677"/>
      <c r="V99" s="377"/>
      <c r="AS99" s="54"/>
      <c r="AT99" s="54"/>
    </row>
    <row r="100" spans="1:46" ht="26.1" customHeight="1" x14ac:dyDescent="0.15">
      <c r="A100" s="55"/>
      <c r="B100" s="1671" t="s">
        <v>656</v>
      </c>
      <c r="C100" s="1672"/>
      <c r="D100" s="1672"/>
      <c r="E100" s="1672"/>
      <c r="F100" s="1672"/>
      <c r="G100" s="1672"/>
      <c r="H100" s="1672"/>
      <c r="I100" s="1672"/>
      <c r="J100" s="1672"/>
      <c r="K100" s="1673"/>
      <c r="L100" s="1040"/>
      <c r="M100" s="1040"/>
      <c r="N100" s="748"/>
      <c r="O100" s="192" t="s">
        <v>648</v>
      </c>
      <c r="P100" s="1678" t="s">
        <v>1778</v>
      </c>
      <c r="Q100" s="1679"/>
      <c r="R100" s="1679"/>
      <c r="S100" s="1679"/>
      <c r="T100" s="1679"/>
      <c r="U100" s="1680"/>
      <c r="V100" s="377"/>
      <c r="AS100" s="54"/>
      <c r="AT100" s="54"/>
    </row>
    <row r="101" spans="1:46" ht="26.1" customHeight="1" thickBot="1" x14ac:dyDescent="0.2">
      <c r="A101" s="55"/>
      <c r="B101" s="1671" t="s">
        <v>657</v>
      </c>
      <c r="C101" s="1672"/>
      <c r="D101" s="1672"/>
      <c r="E101" s="1672"/>
      <c r="F101" s="1672"/>
      <c r="G101" s="1672"/>
      <c r="H101" s="1672"/>
      <c r="I101" s="1672"/>
      <c r="J101" s="1672"/>
      <c r="K101" s="1673"/>
      <c r="L101" s="1040"/>
      <c r="M101" s="1040"/>
      <c r="N101" s="748"/>
      <c r="O101" s="192" t="s">
        <v>648</v>
      </c>
      <c r="P101" s="1681"/>
      <c r="Q101" s="1682"/>
      <c r="R101" s="1682"/>
      <c r="S101" s="1682"/>
      <c r="T101" s="1682"/>
      <c r="U101" s="1683"/>
      <c r="V101" s="377"/>
      <c r="AS101" s="54"/>
      <c r="AT101" s="54"/>
    </row>
    <row r="102" spans="1:46" ht="26.1" customHeight="1" thickTop="1" thickBot="1" x14ac:dyDescent="0.2">
      <c r="A102" s="55"/>
      <c r="B102" s="1671" t="s">
        <v>1470</v>
      </c>
      <c r="C102" s="1672"/>
      <c r="D102" s="1672"/>
      <c r="E102" s="1672"/>
      <c r="F102" s="1672"/>
      <c r="G102" s="1672"/>
      <c r="H102" s="1672"/>
      <c r="I102" s="1672"/>
      <c r="J102" s="1672"/>
      <c r="K102" s="1673"/>
      <c r="L102" s="1040"/>
      <c r="M102" s="1040"/>
      <c r="N102" s="748"/>
      <c r="O102" s="192" t="s">
        <v>648</v>
      </c>
      <c r="P102" s="1664" t="s">
        <v>1780</v>
      </c>
      <c r="Q102" s="1665"/>
      <c r="R102" s="1662">
        <f>(B59*365)-B68</f>
        <v>0</v>
      </c>
      <c r="S102" s="1663"/>
      <c r="T102" s="1674" t="s">
        <v>1779</v>
      </c>
      <c r="U102" s="1675"/>
      <c r="V102" s="377"/>
      <c r="AS102" s="54"/>
      <c r="AT102" s="54"/>
    </row>
    <row r="103" spans="1:46" ht="26.1" customHeight="1" thickTop="1" x14ac:dyDescent="0.15">
      <c r="A103" s="55"/>
      <c r="B103" s="1671" t="s">
        <v>653</v>
      </c>
      <c r="C103" s="1672"/>
      <c r="D103" s="1672"/>
      <c r="E103" s="1672"/>
      <c r="F103" s="1672"/>
      <c r="G103" s="1672"/>
      <c r="H103" s="1672"/>
      <c r="I103" s="1672"/>
      <c r="J103" s="1672"/>
      <c r="K103" s="1673"/>
      <c r="L103" s="1040"/>
      <c r="M103" s="1040"/>
      <c r="N103" s="748"/>
      <c r="O103" s="192" t="s">
        <v>648</v>
      </c>
      <c r="P103" s="1684" t="s">
        <v>1858</v>
      </c>
      <c r="Q103" s="1685"/>
      <c r="R103" s="1685"/>
      <c r="S103" s="1685"/>
      <c r="T103" s="1685"/>
      <c r="U103" s="1686"/>
      <c r="V103" s="377"/>
      <c r="AS103" s="54"/>
      <c r="AT103" s="54"/>
    </row>
    <row r="104" spans="1:46" ht="26.1" customHeight="1" x14ac:dyDescent="0.15">
      <c r="A104" s="55"/>
      <c r="B104" s="1668" t="s">
        <v>1857</v>
      </c>
      <c r="C104" s="1669"/>
      <c r="D104" s="1669"/>
      <c r="E104" s="1669"/>
      <c r="F104" s="1669"/>
      <c r="G104" s="1669"/>
      <c r="H104" s="1669"/>
      <c r="I104" s="1669"/>
      <c r="J104" s="1669"/>
      <c r="K104" s="1670"/>
      <c r="L104" s="1666">
        <f>SUM(L100:N103)</f>
        <v>0</v>
      </c>
      <c r="M104" s="1667"/>
      <c r="N104" s="1667"/>
      <c r="O104" s="192" t="s">
        <v>1856</v>
      </c>
      <c r="P104" s="1687"/>
      <c r="Q104" s="1688"/>
      <c r="R104" s="1688"/>
      <c r="S104" s="1688"/>
      <c r="T104" s="1688"/>
      <c r="U104" s="1689"/>
      <c r="V104" s="377"/>
      <c r="AS104" s="54"/>
      <c r="AT104" s="54"/>
    </row>
    <row r="105" spans="1:46" ht="13.5" customHeight="1" x14ac:dyDescent="0.15">
      <c r="A105" s="55"/>
      <c r="B105" s="193"/>
      <c r="C105" s="58"/>
      <c r="D105" s="58"/>
      <c r="E105" s="58"/>
      <c r="F105" s="58"/>
      <c r="G105" s="58"/>
      <c r="H105" s="58"/>
      <c r="I105" s="58"/>
      <c r="J105" s="58"/>
      <c r="K105" s="194"/>
      <c r="L105" s="194"/>
      <c r="M105" s="194"/>
      <c r="N105" s="194"/>
      <c r="O105" s="58"/>
      <c r="P105" s="58"/>
      <c r="Q105" s="58"/>
      <c r="R105" s="58"/>
      <c r="S105" s="58"/>
      <c r="T105" s="453"/>
      <c r="U105" s="449"/>
    </row>
    <row r="106" spans="1:46" ht="27" customHeight="1" x14ac:dyDescent="0.15">
      <c r="A106" s="700" t="s">
        <v>1351</v>
      </c>
      <c r="B106" s="701"/>
      <c r="C106" s="701"/>
      <c r="D106" s="701"/>
      <c r="E106" s="702"/>
      <c r="M106" s="54"/>
      <c r="N106" s="54"/>
    </row>
    <row r="107" spans="1:46" ht="15" customHeight="1" x14ac:dyDescent="0.15">
      <c r="A107" s="71" t="s">
        <v>646</v>
      </c>
      <c r="B107" s="71" t="s">
        <v>1782</v>
      </c>
      <c r="C107" s="449"/>
      <c r="D107" s="449"/>
      <c r="E107" s="449"/>
      <c r="F107" s="66"/>
      <c r="G107" s="66"/>
      <c r="H107" s="449"/>
      <c r="I107" s="449"/>
      <c r="J107" s="72"/>
      <c r="K107" s="72"/>
      <c r="L107" s="72"/>
      <c r="M107" s="66"/>
      <c r="O107" s="55"/>
      <c r="P107" s="449"/>
      <c r="Q107" s="449"/>
      <c r="R107" s="449"/>
      <c r="S107" s="55"/>
    </row>
    <row r="108" spans="1:46" ht="26.1" customHeight="1" x14ac:dyDescent="0.15">
      <c r="A108" s="449"/>
      <c r="B108" s="750" t="s">
        <v>1454</v>
      </c>
      <c r="C108" s="751"/>
      <c r="D108" s="750" t="s">
        <v>1455</v>
      </c>
      <c r="E108" s="751"/>
      <c r="F108" s="731" t="s">
        <v>56</v>
      </c>
      <c r="G108" s="731"/>
      <c r="H108" s="731" t="s">
        <v>57</v>
      </c>
      <c r="I108" s="731"/>
      <c r="J108" s="731" t="s">
        <v>58</v>
      </c>
      <c r="K108" s="731"/>
      <c r="L108" s="1115" t="s">
        <v>700</v>
      </c>
      <c r="M108" s="1115"/>
      <c r="O108" s="55"/>
      <c r="P108" s="449"/>
      <c r="Q108" s="449"/>
      <c r="R108" s="449"/>
      <c r="S108" s="55"/>
    </row>
    <row r="109" spans="1:46" ht="26.1" customHeight="1" x14ac:dyDescent="0.15">
      <c r="A109" s="449"/>
      <c r="B109" s="732"/>
      <c r="C109" s="732"/>
      <c r="D109" s="732"/>
      <c r="E109" s="732"/>
      <c r="F109" s="732"/>
      <c r="G109" s="732"/>
      <c r="H109" s="732"/>
      <c r="I109" s="732"/>
      <c r="J109" s="747"/>
      <c r="K109" s="748"/>
      <c r="L109" s="1324" t="str">
        <f>IF(B109+D109+F109+H109+J109=0,"",SUM(B109:K109))</f>
        <v/>
      </c>
      <c r="M109" s="1325"/>
      <c r="O109" s="55"/>
      <c r="P109" s="449"/>
      <c r="Q109" s="449"/>
      <c r="R109" s="449"/>
      <c r="S109" s="55"/>
    </row>
    <row r="110" spans="1:46" ht="15" customHeight="1" x14ac:dyDescent="0.15">
      <c r="A110" s="449"/>
      <c r="B110" s="71"/>
      <c r="C110" s="449"/>
      <c r="D110" s="449"/>
      <c r="E110" s="449"/>
      <c r="F110" s="66"/>
      <c r="G110" s="66"/>
      <c r="H110" s="449"/>
      <c r="I110" s="449"/>
      <c r="J110" s="72"/>
      <c r="K110" s="72"/>
      <c r="L110" s="72"/>
      <c r="M110" s="66"/>
      <c r="O110" s="55"/>
      <c r="P110" s="449"/>
      <c r="Q110" s="449"/>
      <c r="R110" s="449"/>
      <c r="S110" s="55"/>
    </row>
    <row r="111" spans="1:46" ht="15" hidden="1" customHeight="1" x14ac:dyDescent="0.15">
      <c r="A111" s="449" t="s">
        <v>647</v>
      </c>
      <c r="B111" s="71" t="s">
        <v>1790</v>
      </c>
      <c r="C111" s="449"/>
      <c r="D111" s="449"/>
      <c r="E111" s="449"/>
      <c r="F111" s="66"/>
      <c r="G111" s="66"/>
      <c r="H111" s="449"/>
      <c r="I111" s="449"/>
      <c r="J111" s="72"/>
      <c r="K111" s="72"/>
      <c r="L111" s="72"/>
      <c r="M111" s="66"/>
      <c r="O111" s="55"/>
      <c r="P111" s="449"/>
      <c r="Q111" s="449"/>
      <c r="R111" s="449"/>
      <c r="S111" s="55"/>
    </row>
    <row r="112" spans="1:46" ht="26.1" hidden="1" customHeight="1" x14ac:dyDescent="0.15">
      <c r="A112" s="449"/>
      <c r="B112" s="1321" t="s">
        <v>650</v>
      </c>
      <c r="C112" s="1321"/>
      <c r="D112" s="1321"/>
      <c r="E112" s="1321"/>
      <c r="F112" s="1321"/>
      <c r="G112" s="1321"/>
      <c r="H112" s="1321"/>
      <c r="I112" s="1120"/>
      <c r="J112" s="1320"/>
      <c r="K112" s="441" t="s">
        <v>648</v>
      </c>
      <c r="M112" s="66"/>
      <c r="O112" s="55"/>
      <c r="P112" s="449"/>
      <c r="Q112" s="449"/>
      <c r="R112" s="449"/>
      <c r="S112" s="55"/>
    </row>
    <row r="113" spans="1:22" ht="26.1" hidden="1" customHeight="1" x14ac:dyDescent="0.15">
      <c r="A113" s="449"/>
      <c r="B113" s="1321" t="s">
        <v>651</v>
      </c>
      <c r="C113" s="1321"/>
      <c r="D113" s="1321"/>
      <c r="E113" s="1321"/>
      <c r="F113" s="1321"/>
      <c r="G113" s="1321"/>
      <c r="H113" s="1321"/>
      <c r="I113" s="1120"/>
      <c r="J113" s="1320"/>
      <c r="K113" s="132" t="s">
        <v>648</v>
      </c>
      <c r="M113" s="66"/>
      <c r="O113" s="55"/>
      <c r="P113" s="449"/>
      <c r="Q113" s="449"/>
      <c r="R113" s="449"/>
      <c r="S113" s="55"/>
    </row>
    <row r="114" spans="1:22" ht="26.1" hidden="1" customHeight="1" x14ac:dyDescent="0.15">
      <c r="A114" s="449"/>
      <c r="B114" s="1117" t="s">
        <v>652</v>
      </c>
      <c r="C114" s="1118"/>
      <c r="D114" s="1118"/>
      <c r="E114" s="1118"/>
      <c r="F114" s="1118"/>
      <c r="G114" s="1118"/>
      <c r="H114" s="1119"/>
      <c r="I114" s="1120"/>
      <c r="J114" s="1121"/>
      <c r="K114" s="1121"/>
      <c r="L114" s="1121"/>
      <c r="M114" s="1121"/>
      <c r="N114" s="1121"/>
      <c r="O114" s="1121"/>
      <c r="P114" s="1121"/>
      <c r="Q114" s="1121"/>
      <c r="R114" s="1121"/>
      <c r="S114" s="1121"/>
      <c r="T114" s="1121"/>
      <c r="U114" s="1121"/>
      <c r="V114" s="133" t="s">
        <v>649</v>
      </c>
    </row>
    <row r="115" spans="1:22" ht="15" hidden="1" customHeight="1" x14ac:dyDescent="0.15">
      <c r="A115" s="449"/>
      <c r="B115" s="71"/>
      <c r="C115" s="449"/>
      <c r="D115" s="449"/>
      <c r="E115" s="449"/>
      <c r="F115" s="66"/>
      <c r="G115" s="66"/>
      <c r="H115" s="449"/>
      <c r="I115" s="449"/>
      <c r="J115" s="72"/>
      <c r="K115" s="72"/>
      <c r="L115" s="72"/>
      <c r="M115" s="66"/>
      <c r="O115" s="55"/>
      <c r="P115" s="449"/>
      <c r="Q115" s="449"/>
      <c r="R115" s="449"/>
      <c r="S115" s="55"/>
    </row>
    <row r="116" spans="1:22" ht="27" hidden="1" customHeight="1" x14ac:dyDescent="0.15">
      <c r="A116" s="1061" t="s">
        <v>698</v>
      </c>
      <c r="B116" s="1061"/>
      <c r="C116" s="1061"/>
      <c r="D116" s="1061"/>
      <c r="E116" s="1061"/>
      <c r="F116" s="1061"/>
      <c r="G116" s="1061"/>
      <c r="H116" s="1061"/>
      <c r="I116" s="1061"/>
      <c r="J116" s="1061"/>
      <c r="K116" s="1061"/>
      <c r="L116" s="1061"/>
      <c r="M116" s="1061"/>
      <c r="N116" s="212"/>
      <c r="O116" s="212"/>
      <c r="P116" s="212"/>
      <c r="Q116" s="212"/>
      <c r="R116" s="212"/>
      <c r="S116" s="212"/>
      <c r="T116" s="212"/>
      <c r="U116" s="212"/>
      <c r="V116" s="212"/>
    </row>
    <row r="117" spans="1:22" ht="13.5" hidden="1" customHeight="1" x14ac:dyDescent="0.15">
      <c r="A117" s="212" t="s">
        <v>246</v>
      </c>
      <c r="B117" s="1174" t="s">
        <v>658</v>
      </c>
      <c r="C117" s="1174"/>
      <c r="D117" s="1174"/>
      <c r="E117" s="1174"/>
      <c r="F117" s="1174"/>
      <c r="G117" s="1174"/>
      <c r="H117" s="1174"/>
      <c r="I117" s="1174"/>
      <c r="J117" s="1174"/>
      <c r="K117" s="1174"/>
      <c r="L117" s="1174"/>
      <c r="M117" s="1174"/>
      <c r="N117" s="1174"/>
      <c r="O117" s="1174"/>
      <c r="P117" s="1174"/>
      <c r="Q117" s="1174"/>
      <c r="R117" s="1174"/>
      <c r="S117" s="1174"/>
      <c r="T117" s="212"/>
      <c r="U117" s="212"/>
      <c r="V117" s="212"/>
    </row>
    <row r="118" spans="1:22" ht="24" hidden="1" customHeight="1" x14ac:dyDescent="0.15">
      <c r="A118" s="212"/>
      <c r="B118" s="212" t="s">
        <v>217</v>
      </c>
      <c r="C118" s="212"/>
      <c r="D118" s="212"/>
      <c r="E118" s="212"/>
      <c r="F118" s="212"/>
      <c r="G118" s="212"/>
      <c r="H118" s="212"/>
      <c r="I118" s="212"/>
      <c r="J118" s="212"/>
      <c r="K118" s="212"/>
      <c r="L118" s="1208"/>
      <c r="M118" s="1209"/>
      <c r="N118" s="1210"/>
      <c r="O118" s="451" t="s">
        <v>0</v>
      </c>
      <c r="P118" s="212"/>
      <c r="Q118" s="212"/>
      <c r="R118" s="212"/>
      <c r="S118" s="212"/>
      <c r="T118" s="212"/>
      <c r="U118" s="212"/>
      <c r="V118" s="212"/>
    </row>
    <row r="119" spans="1:22" ht="13.5" hidden="1" customHeight="1" x14ac:dyDescent="0.15">
      <c r="A119" s="212"/>
      <c r="B119" s="1174" t="s">
        <v>659</v>
      </c>
      <c r="C119" s="1174"/>
      <c r="D119" s="1174"/>
      <c r="E119" s="1174"/>
      <c r="F119" s="1174"/>
      <c r="G119" s="1174"/>
      <c r="H119" s="1174"/>
      <c r="I119" s="1174"/>
      <c r="J119" s="1174"/>
      <c r="K119" s="1174"/>
      <c r="L119" s="1174"/>
      <c r="M119" s="1174"/>
      <c r="N119" s="1174"/>
      <c r="O119" s="1174"/>
      <c r="P119" s="1174"/>
      <c r="Q119" s="1174"/>
      <c r="R119" s="1174"/>
      <c r="S119" s="1174"/>
      <c r="T119" s="1174"/>
      <c r="U119" s="1174"/>
      <c r="V119" s="212"/>
    </row>
    <row r="120" spans="1:22" ht="13.5" hidden="1" customHeight="1" x14ac:dyDescent="0.15">
      <c r="A120" s="212"/>
      <c r="B120" s="1174"/>
      <c r="C120" s="1174"/>
      <c r="D120" s="1174"/>
      <c r="E120" s="1174"/>
      <c r="F120" s="1174"/>
      <c r="G120" s="1174"/>
      <c r="H120" s="1174"/>
      <c r="I120" s="1174"/>
      <c r="J120" s="1174"/>
      <c r="K120" s="1174"/>
      <c r="L120" s="1174"/>
      <c r="M120" s="1174"/>
      <c r="N120" s="1174"/>
      <c r="O120" s="1174"/>
      <c r="P120" s="1174"/>
      <c r="Q120" s="1174"/>
      <c r="R120" s="1174"/>
      <c r="S120" s="1174"/>
      <c r="T120" s="1174"/>
      <c r="U120" s="1174"/>
      <c r="V120" s="212"/>
    </row>
    <row r="121" spans="1:22" ht="13.5" hidden="1" customHeight="1" thickBot="1" x14ac:dyDescent="0.2">
      <c r="A121" s="212"/>
      <c r="B121" s="452"/>
      <c r="C121" s="452"/>
      <c r="D121" s="452"/>
      <c r="E121" s="452"/>
      <c r="F121" s="452"/>
      <c r="G121" s="452"/>
      <c r="H121" s="452"/>
      <c r="I121" s="452"/>
      <c r="J121" s="452"/>
      <c r="K121" s="452"/>
      <c r="L121" s="452"/>
      <c r="M121" s="452"/>
      <c r="N121" s="452"/>
      <c r="O121" s="452"/>
      <c r="P121" s="452"/>
      <c r="Q121" s="452"/>
      <c r="R121" s="452"/>
      <c r="S121" s="452"/>
      <c r="T121" s="452"/>
      <c r="U121" s="452"/>
      <c r="V121" s="212"/>
    </row>
    <row r="122" spans="1:22" ht="30" hidden="1" customHeight="1" x14ac:dyDescent="0.15">
      <c r="A122" s="212"/>
      <c r="B122" s="1164" t="s">
        <v>175</v>
      </c>
      <c r="C122" s="1165"/>
      <c r="D122" s="1165"/>
      <c r="E122" s="1165"/>
      <c r="F122" s="1165"/>
      <c r="G122" s="1166"/>
      <c r="H122" s="925" t="s">
        <v>212</v>
      </c>
      <c r="I122" s="925"/>
      <c r="J122" s="925"/>
      <c r="K122" s="925"/>
      <c r="L122" s="1244" t="s">
        <v>221</v>
      </c>
      <c r="M122" s="1244"/>
      <c r="N122" s="1244"/>
      <c r="O122" s="1244"/>
      <c r="P122" s="1202" t="s">
        <v>465</v>
      </c>
      <c r="Q122" s="1203"/>
      <c r="R122" s="1203"/>
      <c r="S122" s="1204"/>
      <c r="T122" s="212"/>
      <c r="U122" s="212"/>
      <c r="V122" s="212"/>
    </row>
    <row r="123" spans="1:22" ht="24" hidden="1" customHeight="1" x14ac:dyDescent="0.15">
      <c r="A123" s="212"/>
      <c r="B123" s="1333" t="s">
        <v>218</v>
      </c>
      <c r="C123" s="1334"/>
      <c r="D123" s="1334"/>
      <c r="E123" s="1334"/>
      <c r="F123" s="1334"/>
      <c r="G123" s="1335"/>
      <c r="H123" s="1229"/>
      <c r="I123" s="1229"/>
      <c r="J123" s="1229"/>
      <c r="K123" s="440" t="s">
        <v>0</v>
      </c>
      <c r="L123" s="1206"/>
      <c r="M123" s="1206"/>
      <c r="N123" s="1206"/>
      <c r="O123" s="440" t="s">
        <v>108</v>
      </c>
      <c r="P123" s="1205" t="str">
        <f>IF(H123=0,"",L123/H123)</f>
        <v/>
      </c>
      <c r="Q123" s="1206"/>
      <c r="R123" s="1206"/>
      <c r="S123" s="217" t="s">
        <v>4</v>
      </c>
      <c r="T123" s="212"/>
      <c r="U123" s="212"/>
      <c r="V123" s="212"/>
    </row>
    <row r="124" spans="1:22" ht="24" hidden="1" customHeight="1" x14ac:dyDescent="0.15">
      <c r="A124" s="212"/>
      <c r="B124" s="769" t="s">
        <v>219</v>
      </c>
      <c r="C124" s="770"/>
      <c r="D124" s="770"/>
      <c r="E124" s="770"/>
      <c r="F124" s="770"/>
      <c r="G124" s="771"/>
      <c r="H124" s="1243"/>
      <c r="I124" s="1243"/>
      <c r="J124" s="1243"/>
      <c r="K124" s="436" t="s">
        <v>0</v>
      </c>
      <c r="L124" s="1245"/>
      <c r="M124" s="1245"/>
      <c r="N124" s="1245"/>
      <c r="O124" s="436" t="s">
        <v>108</v>
      </c>
      <c r="P124" s="1205" t="str">
        <f t="shared" ref="P124:P126" si="0">IF(H124=0,"",L124/H124)</f>
        <v/>
      </c>
      <c r="Q124" s="1206"/>
      <c r="R124" s="1206"/>
      <c r="S124" s="218" t="s">
        <v>4</v>
      </c>
      <c r="T124" s="212"/>
      <c r="U124" s="212"/>
      <c r="V124" s="212"/>
    </row>
    <row r="125" spans="1:22" ht="24" hidden="1" customHeight="1" thickBot="1" x14ac:dyDescent="0.2">
      <c r="A125" s="212"/>
      <c r="B125" s="1163" t="s">
        <v>243</v>
      </c>
      <c r="C125" s="1163"/>
      <c r="D125" s="1163"/>
      <c r="E125" s="1163"/>
      <c r="F125" s="1163"/>
      <c r="G125" s="1163"/>
      <c r="H125" s="1175"/>
      <c r="I125" s="1175"/>
      <c r="J125" s="1175"/>
      <c r="K125" s="438" t="s">
        <v>0</v>
      </c>
      <c r="L125" s="1219"/>
      <c r="M125" s="1219"/>
      <c r="N125" s="1219"/>
      <c r="O125" s="438" t="s">
        <v>108</v>
      </c>
      <c r="P125" s="1377" t="str">
        <f t="shared" si="0"/>
        <v/>
      </c>
      <c r="Q125" s="1378"/>
      <c r="R125" s="1378"/>
      <c r="S125" s="219" t="s">
        <v>4</v>
      </c>
      <c r="T125" s="212"/>
      <c r="U125" s="212"/>
      <c r="V125" s="212"/>
    </row>
    <row r="126" spans="1:22" ht="24" hidden="1" customHeight="1" thickTop="1" thickBot="1" x14ac:dyDescent="0.2">
      <c r="A126" s="212"/>
      <c r="B126" s="1218" t="s">
        <v>220</v>
      </c>
      <c r="C126" s="1218"/>
      <c r="D126" s="1218"/>
      <c r="E126" s="1218"/>
      <c r="F126" s="1218"/>
      <c r="G126" s="1218"/>
      <c r="H126" s="754"/>
      <c r="I126" s="754"/>
      <c r="J126" s="754"/>
      <c r="K126" s="463" t="s">
        <v>0</v>
      </c>
      <c r="L126" s="755"/>
      <c r="M126" s="755"/>
      <c r="N126" s="755"/>
      <c r="O126" s="463" t="s">
        <v>73</v>
      </c>
      <c r="P126" s="1240" t="str">
        <f t="shared" si="0"/>
        <v/>
      </c>
      <c r="Q126" s="1241"/>
      <c r="R126" s="1241"/>
      <c r="S126" s="220" t="s">
        <v>4</v>
      </c>
      <c r="T126" s="212"/>
      <c r="U126" s="212"/>
      <c r="V126" s="212"/>
    </row>
    <row r="127" spans="1:22" ht="13.5" hidden="1" customHeight="1" x14ac:dyDescent="0.15">
      <c r="A127" s="212"/>
      <c r="B127" s="221" t="s">
        <v>262</v>
      </c>
      <c r="C127" s="1215" t="s">
        <v>464</v>
      </c>
      <c r="D127" s="1215"/>
      <c r="E127" s="1215"/>
      <c r="F127" s="1215"/>
      <c r="G127" s="1215"/>
      <c r="H127" s="1215"/>
      <c r="I127" s="1215"/>
      <c r="J127" s="1215"/>
      <c r="K127" s="1215"/>
      <c r="L127" s="1215"/>
      <c r="M127" s="1215"/>
      <c r="N127" s="1215"/>
      <c r="O127" s="1215"/>
      <c r="P127" s="1215"/>
      <c r="Q127" s="1215"/>
      <c r="R127" s="1215"/>
      <c r="S127" s="1215"/>
      <c r="T127" s="1215"/>
      <c r="U127" s="1215"/>
      <c r="V127" s="212"/>
    </row>
    <row r="128" spans="1:22" ht="13.5" hidden="1" customHeight="1" x14ac:dyDescent="0.15">
      <c r="A128" s="212"/>
      <c r="B128" s="222"/>
      <c r="C128" s="1215"/>
      <c r="D128" s="1215"/>
      <c r="E128" s="1215"/>
      <c r="F128" s="1215"/>
      <c r="G128" s="1215"/>
      <c r="H128" s="1215"/>
      <c r="I128" s="1215"/>
      <c r="J128" s="1215"/>
      <c r="K128" s="1215"/>
      <c r="L128" s="1215"/>
      <c r="M128" s="1215"/>
      <c r="N128" s="1215"/>
      <c r="O128" s="1215"/>
      <c r="P128" s="1215"/>
      <c r="Q128" s="1215"/>
      <c r="R128" s="1215"/>
      <c r="S128" s="1215"/>
      <c r="T128" s="1215"/>
      <c r="U128" s="1215"/>
      <c r="V128" s="212"/>
    </row>
    <row r="129" spans="1:46" ht="13.5" hidden="1" customHeight="1" x14ac:dyDescent="0.15">
      <c r="A129" s="212"/>
      <c r="B129" s="222"/>
      <c r="C129" s="450"/>
      <c r="D129" s="450"/>
      <c r="E129" s="450"/>
      <c r="F129" s="450"/>
      <c r="G129" s="450"/>
      <c r="H129" s="450"/>
      <c r="I129" s="450"/>
      <c r="J129" s="450"/>
      <c r="K129" s="450"/>
      <c r="L129" s="450"/>
      <c r="M129" s="450"/>
      <c r="N129" s="450"/>
      <c r="O129" s="450"/>
      <c r="P129" s="450"/>
      <c r="Q129" s="450"/>
      <c r="R129" s="450"/>
      <c r="S129" s="450"/>
      <c r="T129" s="450"/>
      <c r="U129" s="450"/>
      <c r="V129" s="212"/>
    </row>
    <row r="130" spans="1:46" ht="27" customHeight="1" x14ac:dyDescent="0.15">
      <c r="A130" s="700" t="s">
        <v>1466</v>
      </c>
      <c r="B130" s="701"/>
      <c r="C130" s="701"/>
      <c r="D130" s="701"/>
      <c r="E130" s="701"/>
      <c r="F130" s="701"/>
      <c r="G130" s="702"/>
      <c r="O130" s="55"/>
      <c r="P130" s="55"/>
      <c r="Q130" s="55"/>
      <c r="R130" s="55"/>
      <c r="S130" s="55"/>
    </row>
    <row r="131" spans="1:46" x14ac:dyDescent="0.15">
      <c r="A131" s="55" t="s">
        <v>79</v>
      </c>
      <c r="B131" s="55" t="s">
        <v>86</v>
      </c>
      <c r="C131" s="55"/>
      <c r="O131" s="55"/>
      <c r="P131" s="55"/>
      <c r="Q131" s="55"/>
      <c r="R131" s="55"/>
      <c r="S131" s="55"/>
    </row>
    <row r="132" spans="1:46" ht="13.5" customHeight="1" x14ac:dyDescent="0.15">
      <c r="A132" s="55" t="s">
        <v>79</v>
      </c>
      <c r="B132" s="763" t="s">
        <v>87</v>
      </c>
      <c r="C132" s="763"/>
      <c r="D132" s="763"/>
      <c r="E132" s="763"/>
      <c r="F132" s="763"/>
      <c r="G132" s="763"/>
      <c r="H132" s="763"/>
      <c r="I132" s="763"/>
      <c r="J132" s="763"/>
      <c r="K132" s="763"/>
      <c r="L132" s="763"/>
      <c r="M132" s="763"/>
      <c r="N132" s="763"/>
      <c r="O132" s="763"/>
      <c r="P132" s="763"/>
      <c r="Q132" s="763"/>
      <c r="R132" s="763"/>
      <c r="S132" s="763"/>
      <c r="T132" s="763"/>
      <c r="U132" s="763"/>
    </row>
    <row r="133" spans="1:46" x14ac:dyDescent="0.15">
      <c r="A133" s="55"/>
      <c r="B133" s="763"/>
      <c r="C133" s="763"/>
      <c r="D133" s="763"/>
      <c r="E133" s="763"/>
      <c r="F133" s="763"/>
      <c r="G133" s="763"/>
      <c r="H133" s="763"/>
      <c r="I133" s="763"/>
      <c r="J133" s="763"/>
      <c r="K133" s="763"/>
      <c r="L133" s="763"/>
      <c r="M133" s="763"/>
      <c r="N133" s="763"/>
      <c r="O133" s="763"/>
      <c r="P133" s="763"/>
      <c r="Q133" s="763"/>
      <c r="R133" s="763"/>
      <c r="S133" s="763"/>
      <c r="T133" s="763"/>
      <c r="U133" s="763"/>
    </row>
    <row r="134" spans="1:46" ht="24" customHeight="1" x14ac:dyDescent="0.15">
      <c r="A134" s="55"/>
      <c r="B134" s="731" t="s">
        <v>62</v>
      </c>
      <c r="C134" s="731"/>
      <c r="D134" s="731"/>
      <c r="E134" s="731"/>
      <c r="F134" s="731"/>
      <c r="G134" s="731"/>
      <c r="H134" s="731" t="s">
        <v>42</v>
      </c>
      <c r="I134" s="731"/>
      <c r="J134" s="731"/>
      <c r="K134" s="731"/>
      <c r="L134" s="1225" t="s">
        <v>43</v>
      </c>
      <c r="M134" s="1225"/>
      <c r="N134" s="1225"/>
      <c r="O134" s="1225"/>
      <c r="P134" s="55"/>
      <c r="Q134" s="55"/>
      <c r="R134" s="55"/>
    </row>
    <row r="135" spans="1:46" ht="24" customHeight="1" thickBot="1" x14ac:dyDescent="0.2">
      <c r="A135" s="55"/>
      <c r="B135" s="1222" t="s">
        <v>44</v>
      </c>
      <c r="C135" s="1222"/>
      <c r="D135" s="1222"/>
      <c r="E135" s="1222"/>
      <c r="F135" s="1222"/>
      <c r="G135" s="1222"/>
      <c r="H135" s="1223"/>
      <c r="I135" s="1223"/>
      <c r="J135" s="1223"/>
      <c r="K135" s="76" t="s">
        <v>4</v>
      </c>
      <c r="L135" s="1306" t="s">
        <v>63</v>
      </c>
      <c r="M135" s="1306"/>
      <c r="N135" s="1306"/>
      <c r="O135" s="1306"/>
      <c r="P135" s="55"/>
      <c r="Q135" s="55"/>
      <c r="R135" s="55"/>
    </row>
    <row r="136" spans="1:46" ht="24" customHeight="1" thickTop="1" x14ac:dyDescent="0.15">
      <c r="A136" s="55"/>
      <c r="B136" s="1348" t="s">
        <v>45</v>
      </c>
      <c r="C136" s="1348"/>
      <c r="D136" s="1348"/>
      <c r="E136" s="1348"/>
      <c r="F136" s="1348"/>
      <c r="G136" s="1348"/>
      <c r="H136" s="1343"/>
      <c r="I136" s="1343"/>
      <c r="J136" s="1343"/>
      <c r="K136" s="77" t="s">
        <v>4</v>
      </c>
      <c r="L136" s="1305" t="s">
        <v>64</v>
      </c>
      <c r="M136" s="1305"/>
      <c r="N136" s="1305"/>
      <c r="O136" s="1305"/>
      <c r="P136" s="55"/>
      <c r="Q136" s="55"/>
      <c r="R136" s="55"/>
    </row>
    <row r="137" spans="1:46" ht="24" customHeight="1" x14ac:dyDescent="0.15">
      <c r="A137" s="55"/>
      <c r="B137" s="1207" t="s">
        <v>46</v>
      </c>
      <c r="C137" s="1207"/>
      <c r="D137" s="1207"/>
      <c r="E137" s="1207"/>
      <c r="F137" s="1207"/>
      <c r="G137" s="1207"/>
      <c r="H137" s="1342"/>
      <c r="I137" s="1342"/>
      <c r="J137" s="1342"/>
      <c r="K137" s="421" t="s">
        <v>4</v>
      </c>
      <c r="L137" s="772" t="s">
        <v>65</v>
      </c>
      <c r="M137" s="772"/>
      <c r="N137" s="772"/>
      <c r="O137" s="772"/>
      <c r="P137" s="55"/>
      <c r="Q137" s="55"/>
      <c r="R137" s="55"/>
    </row>
    <row r="138" spans="1:46" ht="24" customHeight="1" x14ac:dyDescent="0.15">
      <c r="A138" s="55"/>
      <c r="B138" s="454" t="s">
        <v>47</v>
      </c>
      <c r="C138" s="454"/>
      <c r="D138" s="454"/>
      <c r="E138" s="454"/>
      <c r="F138" s="454"/>
      <c r="G138" s="454"/>
      <c r="H138" s="1342"/>
      <c r="I138" s="1342"/>
      <c r="J138" s="1342"/>
      <c r="K138" s="421" t="s">
        <v>4</v>
      </c>
      <c r="L138" s="772" t="s">
        <v>66</v>
      </c>
      <c r="M138" s="772"/>
      <c r="N138" s="772"/>
      <c r="O138" s="772"/>
      <c r="P138" s="55"/>
      <c r="Q138" s="55"/>
      <c r="R138" s="55"/>
    </row>
    <row r="139" spans="1:46" ht="24" customHeight="1" x14ac:dyDescent="0.15">
      <c r="A139" s="55"/>
      <c r="B139" s="1224" t="s">
        <v>48</v>
      </c>
      <c r="C139" s="1224"/>
      <c r="D139" s="1224"/>
      <c r="E139" s="1224"/>
      <c r="F139" s="1224"/>
      <c r="G139" s="1224"/>
      <c r="H139" s="1195"/>
      <c r="I139" s="1195"/>
      <c r="J139" s="1195"/>
      <c r="K139" s="423" t="s">
        <v>4</v>
      </c>
      <c r="L139" s="1349" t="s">
        <v>67</v>
      </c>
      <c r="M139" s="1349"/>
      <c r="N139" s="1349"/>
      <c r="O139" s="1349"/>
      <c r="P139" s="55"/>
      <c r="Q139" s="55"/>
      <c r="R139" s="55"/>
    </row>
    <row r="140" spans="1:46" ht="24" customHeight="1" x14ac:dyDescent="0.15">
      <c r="A140" s="55"/>
      <c r="B140" s="1224" t="s">
        <v>805</v>
      </c>
      <c r="C140" s="1224"/>
      <c r="D140" s="1224"/>
      <c r="E140" s="1224"/>
      <c r="F140" s="1224"/>
      <c r="G140" s="1224"/>
      <c r="H140" s="1195"/>
      <c r="I140" s="1195"/>
      <c r="J140" s="1195"/>
      <c r="K140" s="423" t="s">
        <v>4</v>
      </c>
      <c r="L140" s="1347"/>
      <c r="M140" s="1347"/>
      <c r="N140" s="1347"/>
      <c r="O140" s="1347"/>
      <c r="P140" s="55"/>
      <c r="Q140" s="55"/>
      <c r="R140" s="55"/>
    </row>
    <row r="141" spans="1:46" s="36" customFormat="1" ht="13.5" customHeight="1" x14ac:dyDescent="0.15">
      <c r="B141" s="447"/>
      <c r="C141" s="447"/>
      <c r="D141" s="447"/>
      <c r="E141" s="447"/>
      <c r="F141" s="447"/>
      <c r="G141" s="447"/>
      <c r="H141" s="468"/>
      <c r="I141" s="468"/>
      <c r="J141" s="468"/>
      <c r="K141" s="453"/>
      <c r="L141" s="453"/>
      <c r="M141" s="453"/>
      <c r="N141" s="453"/>
      <c r="O141" s="453"/>
      <c r="W141" s="381"/>
      <c r="X141" s="381"/>
      <c r="Y141" s="381"/>
      <c r="Z141" s="381"/>
      <c r="AA141" s="381"/>
      <c r="AB141" s="381"/>
      <c r="AC141" s="381"/>
      <c r="AD141" s="381"/>
      <c r="AE141" s="381"/>
      <c r="AF141" s="381"/>
      <c r="AG141" s="381"/>
      <c r="AH141" s="381"/>
      <c r="AI141" s="381"/>
      <c r="AJ141" s="381"/>
      <c r="AK141" s="381"/>
      <c r="AL141" s="381"/>
      <c r="AM141" s="381"/>
      <c r="AN141" s="381"/>
      <c r="AO141" s="381"/>
      <c r="AP141" s="381"/>
      <c r="AQ141" s="381"/>
      <c r="AR141" s="381"/>
      <c r="AS141" s="381"/>
      <c r="AT141" s="381"/>
    </row>
    <row r="142" spans="1:46" ht="24" customHeight="1" x14ac:dyDescent="0.15">
      <c r="A142" s="1220" t="s">
        <v>1847</v>
      </c>
      <c r="B142" s="1220"/>
      <c r="C142" s="1220"/>
      <c r="D142" s="1220"/>
      <c r="E142" s="1220"/>
      <c r="F142" s="1220"/>
      <c r="G142" s="1220"/>
      <c r="H142" s="1220"/>
      <c r="I142" s="1220"/>
      <c r="J142" s="1220"/>
      <c r="K142" s="58"/>
      <c r="L142" s="453"/>
      <c r="M142" s="415"/>
      <c r="N142" s="415"/>
      <c r="O142" s="415"/>
      <c r="P142" s="415"/>
      <c r="Q142" s="55"/>
      <c r="R142" s="55"/>
      <c r="S142" s="55"/>
      <c r="T142" s="55"/>
      <c r="U142" s="55"/>
      <c r="V142" s="55"/>
    </row>
    <row r="143" spans="1:46" ht="27" customHeight="1" x14ac:dyDescent="0.15">
      <c r="A143" s="363" t="s">
        <v>1852</v>
      </c>
      <c r="B143" s="1698" t="s">
        <v>1853</v>
      </c>
      <c r="C143" s="1698"/>
      <c r="D143" s="1698"/>
      <c r="E143" s="1698"/>
      <c r="F143" s="1698"/>
      <c r="G143" s="1698"/>
      <c r="H143" s="1698"/>
      <c r="I143" s="1698"/>
      <c r="J143" s="1698"/>
      <c r="K143" s="1698"/>
      <c r="L143" s="1698"/>
      <c r="M143" s="1698"/>
      <c r="N143" s="1698"/>
      <c r="O143" s="1698"/>
      <c r="P143" s="1698"/>
      <c r="Q143" s="1698"/>
      <c r="R143" s="1698"/>
      <c r="S143" s="1698"/>
      <c r="T143" s="1698"/>
      <c r="U143" s="1698"/>
      <c r="V143" s="55"/>
    </row>
    <row r="144" spans="1:46" ht="13.5" customHeight="1" x14ac:dyDescent="0.15">
      <c r="A144" s="55"/>
      <c r="B144" s="36"/>
      <c r="C144" s="447"/>
      <c r="D144" s="447"/>
      <c r="E144" s="447"/>
      <c r="F144" s="447"/>
      <c r="G144" s="447"/>
      <c r="H144" s="447"/>
      <c r="I144" s="58"/>
      <c r="J144" s="58"/>
      <c r="K144" s="58"/>
      <c r="L144" s="453"/>
      <c r="M144" s="415"/>
      <c r="N144" s="415"/>
      <c r="O144" s="415"/>
      <c r="P144" s="415"/>
      <c r="Q144" s="55"/>
      <c r="R144" s="55"/>
      <c r="S144" s="55"/>
      <c r="T144" s="55"/>
      <c r="U144" s="55"/>
      <c r="V144" s="55"/>
    </row>
    <row r="145" spans="1:46" ht="36.950000000000003" customHeight="1" x14ac:dyDescent="0.15">
      <c r="A145" s="55"/>
      <c r="B145" s="731" t="s">
        <v>175</v>
      </c>
      <c r="C145" s="731"/>
      <c r="D145" s="731"/>
      <c r="E145" s="731"/>
      <c r="F145" s="731"/>
      <c r="G145" s="731"/>
      <c r="H145" s="1185" t="s">
        <v>1849</v>
      </c>
      <c r="I145" s="1031"/>
      <c r="J145" s="1031"/>
      <c r="K145" s="1185" t="s">
        <v>1850</v>
      </c>
      <c r="L145" s="1031"/>
      <c r="M145" s="1032"/>
      <c r="N145" s="1185" t="s">
        <v>1851</v>
      </c>
      <c r="O145" s="1031"/>
      <c r="P145" s="1032"/>
      <c r="Q145" s="1115" t="s">
        <v>410</v>
      </c>
      <c r="R145" s="1115"/>
      <c r="S145" s="1115"/>
      <c r="T145" s="377"/>
      <c r="U145" s="377"/>
      <c r="V145" s="377"/>
      <c r="AR145" s="54"/>
      <c r="AS145" s="54"/>
      <c r="AT145" s="54"/>
    </row>
    <row r="146" spans="1:46" ht="24" customHeight="1" x14ac:dyDescent="0.15">
      <c r="A146" s="55"/>
      <c r="B146" s="1697" t="s">
        <v>1848</v>
      </c>
      <c r="C146" s="1697"/>
      <c r="D146" s="1697"/>
      <c r="E146" s="1697"/>
      <c r="F146" s="1697"/>
      <c r="G146" s="1697"/>
      <c r="H146" s="678"/>
      <c r="I146" s="678"/>
      <c r="J146" s="678"/>
      <c r="K146" s="678"/>
      <c r="L146" s="678"/>
      <c r="M146" s="678"/>
      <c r="N146" s="678"/>
      <c r="O146" s="678"/>
      <c r="P146" s="678"/>
      <c r="Q146" s="708">
        <f>SUM(H146:P146)</f>
        <v>0</v>
      </c>
      <c r="R146" s="708"/>
      <c r="S146" s="708"/>
      <c r="T146" s="377"/>
      <c r="U146" s="377"/>
      <c r="V146" s="377"/>
      <c r="AR146" s="54"/>
      <c r="AS146" s="54"/>
      <c r="AT146" s="54"/>
    </row>
    <row r="147" spans="1:46" ht="13.5" customHeight="1" x14ac:dyDescent="0.15">
      <c r="A147" s="36"/>
      <c r="B147" s="399"/>
      <c r="C147" s="399"/>
      <c r="D147" s="399"/>
      <c r="E147" s="399"/>
      <c r="F147" s="399"/>
      <c r="G147" s="128"/>
      <c r="H147" s="128"/>
      <c r="I147" s="128"/>
      <c r="J147" s="128"/>
      <c r="K147" s="468"/>
      <c r="L147" s="468"/>
      <c r="M147" s="468"/>
      <c r="N147" s="453"/>
      <c r="O147" s="468"/>
      <c r="P147" s="468"/>
      <c r="Q147" s="468"/>
      <c r="R147" s="453"/>
      <c r="S147" s="468"/>
      <c r="T147" s="468"/>
      <c r="U147" s="468"/>
      <c r="V147" s="453"/>
      <c r="W147" s="382"/>
    </row>
    <row r="148" spans="1:46" s="36" customFormat="1" ht="13.5" customHeight="1" x14ac:dyDescent="0.15">
      <c r="B148" s="447"/>
      <c r="C148" s="447"/>
      <c r="D148" s="447"/>
      <c r="E148" s="447"/>
      <c r="F148" s="447"/>
      <c r="G148" s="447"/>
      <c r="H148" s="468"/>
      <c r="I148" s="468"/>
      <c r="J148" s="468"/>
      <c r="K148" s="453"/>
      <c r="L148" s="453"/>
      <c r="M148" s="453"/>
      <c r="N148" s="453"/>
      <c r="O148" s="453"/>
      <c r="W148" s="381"/>
      <c r="X148" s="381"/>
      <c r="Y148" s="381"/>
      <c r="Z148" s="381"/>
      <c r="AA148" s="381"/>
      <c r="AB148" s="381"/>
      <c r="AC148" s="381"/>
      <c r="AD148" s="381"/>
      <c r="AE148" s="381"/>
      <c r="AF148" s="381"/>
      <c r="AG148" s="381"/>
      <c r="AH148" s="381"/>
      <c r="AI148" s="381"/>
      <c r="AJ148" s="381"/>
      <c r="AK148" s="381"/>
      <c r="AL148" s="381"/>
      <c r="AM148" s="381"/>
      <c r="AN148" s="381"/>
      <c r="AO148" s="381"/>
      <c r="AP148" s="381"/>
      <c r="AQ148" s="381"/>
      <c r="AR148" s="381"/>
      <c r="AS148" s="381"/>
      <c r="AT148" s="381"/>
    </row>
    <row r="149" spans="1:46" ht="27" customHeight="1" x14ac:dyDescent="0.15">
      <c r="A149" s="840" t="s">
        <v>1783</v>
      </c>
      <c r="B149" s="840"/>
      <c r="C149" s="840"/>
      <c r="D149" s="840"/>
      <c r="E149" s="840"/>
      <c r="F149" s="840"/>
      <c r="G149" s="840"/>
      <c r="H149" s="840"/>
      <c r="I149" s="840"/>
      <c r="J149" s="840"/>
      <c r="K149" s="840"/>
      <c r="L149" s="840"/>
      <c r="M149" s="840"/>
      <c r="N149" s="840"/>
      <c r="O149" s="55"/>
      <c r="P149" s="55"/>
      <c r="Q149" s="55"/>
      <c r="R149" s="55"/>
      <c r="S149" s="55"/>
    </row>
    <row r="150" spans="1:46" ht="13.35" customHeight="1" x14ac:dyDescent="0.15">
      <c r="A150" s="71" t="s">
        <v>77</v>
      </c>
      <c r="B150" s="55" t="s">
        <v>1791</v>
      </c>
      <c r="C150" s="55"/>
      <c r="O150" s="55"/>
      <c r="P150" s="55"/>
      <c r="Q150" s="55"/>
      <c r="R150" s="55"/>
      <c r="S150" s="55"/>
      <c r="T150" s="55"/>
      <c r="U150" s="55"/>
    </row>
    <row r="151" spans="1:46" ht="13.35" customHeight="1" x14ac:dyDescent="0.15">
      <c r="A151" s="71"/>
      <c r="B151" s="55"/>
      <c r="C151" s="55"/>
      <c r="O151" s="55"/>
      <c r="P151" s="55"/>
      <c r="Q151" s="55"/>
      <c r="R151" s="55"/>
      <c r="S151" s="55"/>
      <c r="T151" s="55"/>
      <c r="U151" s="55"/>
    </row>
    <row r="152" spans="1:46" x14ac:dyDescent="0.15">
      <c r="B152" s="731" t="s">
        <v>14</v>
      </c>
      <c r="C152" s="731"/>
      <c r="D152" s="731"/>
      <c r="E152" s="731"/>
      <c r="F152" s="731"/>
      <c r="G152" s="731"/>
      <c r="H152" s="731"/>
      <c r="I152" s="731" t="s">
        <v>92</v>
      </c>
      <c r="J152" s="731"/>
      <c r="K152" s="731"/>
      <c r="L152" s="731"/>
      <c r="M152" s="731"/>
      <c r="N152" s="731"/>
      <c r="O152" s="731"/>
      <c r="P152" s="728"/>
      <c r="Q152" s="1196" t="s">
        <v>91</v>
      </c>
      <c r="R152" s="1037"/>
      <c r="S152" s="1038"/>
    </row>
    <row r="153" spans="1:46" ht="27.75" customHeight="1" x14ac:dyDescent="0.15">
      <c r="B153" s="731"/>
      <c r="C153" s="731"/>
      <c r="D153" s="731"/>
      <c r="E153" s="731"/>
      <c r="F153" s="731"/>
      <c r="G153" s="731"/>
      <c r="H153" s="731"/>
      <c r="I153" s="731"/>
      <c r="J153" s="731"/>
      <c r="K153" s="731"/>
      <c r="L153" s="731"/>
      <c r="M153" s="731"/>
      <c r="N153" s="731"/>
      <c r="O153" s="731"/>
      <c r="P153" s="728"/>
      <c r="Q153" s="1197"/>
      <c r="R153" s="1100"/>
      <c r="S153" s="1101"/>
    </row>
    <row r="154" spans="1:46" ht="21.95" customHeight="1" x14ac:dyDescent="0.15">
      <c r="B154" s="1167" t="s">
        <v>90</v>
      </c>
      <c r="C154" s="1168"/>
      <c r="D154" s="1168"/>
      <c r="E154" s="1168"/>
      <c r="F154" s="1168"/>
      <c r="G154" s="1168"/>
      <c r="H154" s="1169"/>
      <c r="I154" s="1331" t="s">
        <v>1360</v>
      </c>
      <c r="J154" s="1332"/>
      <c r="K154" s="1332"/>
      <c r="L154" s="1332"/>
      <c r="M154" s="1332"/>
      <c r="N154" s="1332"/>
      <c r="O154" s="1332"/>
      <c r="P154" s="1332"/>
      <c r="Q154" s="1514"/>
      <c r="R154" s="1514"/>
      <c r="S154" s="1515"/>
    </row>
    <row r="155" spans="1:46" ht="21.95" customHeight="1" x14ac:dyDescent="0.15">
      <c r="B155" s="760" t="s">
        <v>15</v>
      </c>
      <c r="C155" s="761"/>
      <c r="D155" s="761"/>
      <c r="E155" s="761"/>
      <c r="F155" s="761"/>
      <c r="G155" s="761"/>
      <c r="H155" s="762"/>
      <c r="I155" s="713" t="s">
        <v>165</v>
      </c>
      <c r="J155" s="713"/>
      <c r="K155" s="713"/>
      <c r="L155" s="713"/>
      <c r="M155" s="713"/>
      <c r="N155" s="713"/>
      <c r="O155" s="713"/>
      <c r="P155" s="766"/>
      <c r="Q155" s="752"/>
      <c r="R155" s="752"/>
      <c r="S155" s="753"/>
    </row>
    <row r="156" spans="1:46" ht="21.95" customHeight="1" x14ac:dyDescent="0.15">
      <c r="B156" s="760" t="s">
        <v>16</v>
      </c>
      <c r="C156" s="761"/>
      <c r="D156" s="761"/>
      <c r="E156" s="761"/>
      <c r="F156" s="761"/>
      <c r="G156" s="761"/>
      <c r="H156" s="762"/>
      <c r="I156" s="1198" t="s">
        <v>113</v>
      </c>
      <c r="J156" s="1199"/>
      <c r="K156" s="1199"/>
      <c r="L156" s="1199"/>
      <c r="M156" s="1199"/>
      <c r="N156" s="1199"/>
      <c r="O156" s="1199"/>
      <c r="P156" s="1199"/>
      <c r="Q156" s="752"/>
      <c r="R156" s="752"/>
      <c r="S156" s="753"/>
    </row>
    <row r="157" spans="1:46" ht="21.95" customHeight="1" x14ac:dyDescent="0.15">
      <c r="B157" s="760" t="s">
        <v>17</v>
      </c>
      <c r="C157" s="761"/>
      <c r="D157" s="761"/>
      <c r="E157" s="761"/>
      <c r="F157" s="761"/>
      <c r="G157" s="761"/>
      <c r="H157" s="762"/>
      <c r="I157" s="713" t="s">
        <v>51</v>
      </c>
      <c r="J157" s="713"/>
      <c r="K157" s="713"/>
      <c r="L157" s="713"/>
      <c r="M157" s="713"/>
      <c r="N157" s="713"/>
      <c r="O157" s="713"/>
      <c r="P157" s="766"/>
      <c r="Q157" s="752"/>
      <c r="R157" s="752"/>
      <c r="S157" s="753"/>
    </row>
    <row r="158" spans="1:46" ht="21.95" customHeight="1" x14ac:dyDescent="0.15">
      <c r="B158" s="760" t="s">
        <v>18</v>
      </c>
      <c r="C158" s="761"/>
      <c r="D158" s="761"/>
      <c r="E158" s="761"/>
      <c r="F158" s="761"/>
      <c r="G158" s="761"/>
      <c r="H158" s="762"/>
      <c r="I158" s="713" t="s">
        <v>52</v>
      </c>
      <c r="J158" s="713"/>
      <c r="K158" s="713"/>
      <c r="L158" s="713"/>
      <c r="M158" s="713"/>
      <c r="N158" s="713"/>
      <c r="O158" s="713"/>
      <c r="P158" s="766"/>
      <c r="Q158" s="752"/>
      <c r="R158" s="752"/>
      <c r="S158" s="753"/>
    </row>
    <row r="159" spans="1:46" ht="21.95" customHeight="1" x14ac:dyDescent="0.15">
      <c r="B159" s="760" t="s">
        <v>19</v>
      </c>
      <c r="C159" s="761"/>
      <c r="D159" s="761"/>
      <c r="E159" s="761"/>
      <c r="F159" s="761"/>
      <c r="G159" s="761"/>
      <c r="H159" s="762"/>
      <c r="I159" s="713" t="s">
        <v>51</v>
      </c>
      <c r="J159" s="713"/>
      <c r="K159" s="713"/>
      <c r="L159" s="713"/>
      <c r="M159" s="713"/>
      <c r="N159" s="713"/>
      <c r="O159" s="713"/>
      <c r="P159" s="766"/>
      <c r="Q159" s="752"/>
      <c r="R159" s="752"/>
      <c r="S159" s="753"/>
    </row>
    <row r="160" spans="1:46" ht="21.95" customHeight="1" x14ac:dyDescent="0.15">
      <c r="B160" s="760" t="s">
        <v>20</v>
      </c>
      <c r="C160" s="761"/>
      <c r="D160" s="761"/>
      <c r="E160" s="761"/>
      <c r="F160" s="761"/>
      <c r="G160" s="761"/>
      <c r="H160" s="762"/>
      <c r="I160" s="713" t="s">
        <v>52</v>
      </c>
      <c r="J160" s="713"/>
      <c r="K160" s="713"/>
      <c r="L160" s="713"/>
      <c r="M160" s="713"/>
      <c r="N160" s="713"/>
      <c r="O160" s="713"/>
      <c r="P160" s="766"/>
      <c r="Q160" s="752"/>
      <c r="R160" s="752"/>
      <c r="S160" s="753"/>
    </row>
    <row r="161" spans="2:19" ht="21.95" customHeight="1" x14ac:dyDescent="0.15">
      <c r="B161" s="760" t="s">
        <v>1324</v>
      </c>
      <c r="C161" s="761"/>
      <c r="D161" s="761"/>
      <c r="E161" s="761"/>
      <c r="F161" s="761"/>
      <c r="G161" s="761"/>
      <c r="H161" s="762"/>
      <c r="I161" s="713" t="s">
        <v>1326</v>
      </c>
      <c r="J161" s="713"/>
      <c r="K161" s="713"/>
      <c r="L161" s="713"/>
      <c r="M161" s="713"/>
      <c r="N161" s="713"/>
      <c r="O161" s="713"/>
      <c r="P161" s="766"/>
      <c r="Q161" s="752"/>
      <c r="R161" s="752"/>
      <c r="S161" s="753"/>
    </row>
    <row r="162" spans="2:19" ht="21.95" customHeight="1" x14ac:dyDescent="0.15">
      <c r="B162" s="760" t="s">
        <v>1325</v>
      </c>
      <c r="C162" s="761"/>
      <c r="D162" s="761"/>
      <c r="E162" s="761"/>
      <c r="F162" s="761"/>
      <c r="G162" s="761"/>
      <c r="H162" s="762"/>
      <c r="I162" s="713" t="s">
        <v>1327</v>
      </c>
      <c r="J162" s="713"/>
      <c r="K162" s="713"/>
      <c r="L162" s="713"/>
      <c r="M162" s="713"/>
      <c r="N162" s="713"/>
      <c r="O162" s="713"/>
      <c r="P162" s="766"/>
      <c r="Q162" s="752"/>
      <c r="R162" s="752"/>
      <c r="S162" s="753"/>
    </row>
    <row r="163" spans="2:19" ht="21.95" customHeight="1" x14ac:dyDescent="0.15">
      <c r="B163" s="760" t="s">
        <v>1328</v>
      </c>
      <c r="C163" s="761"/>
      <c r="D163" s="761"/>
      <c r="E163" s="761"/>
      <c r="F163" s="761"/>
      <c r="G163" s="761"/>
      <c r="H163" s="762"/>
      <c r="I163" s="713" t="s">
        <v>165</v>
      </c>
      <c r="J163" s="713"/>
      <c r="K163" s="713"/>
      <c r="L163" s="713"/>
      <c r="M163" s="713"/>
      <c r="N163" s="713"/>
      <c r="O163" s="713"/>
      <c r="P163" s="766"/>
      <c r="Q163" s="752"/>
      <c r="R163" s="752"/>
      <c r="S163" s="753"/>
    </row>
    <row r="164" spans="2:19" ht="21.95" customHeight="1" x14ac:dyDescent="0.15">
      <c r="B164" s="760" t="s">
        <v>1329</v>
      </c>
      <c r="C164" s="761"/>
      <c r="D164" s="761"/>
      <c r="E164" s="761"/>
      <c r="F164" s="761"/>
      <c r="G164" s="761"/>
      <c r="H164" s="762"/>
      <c r="I164" s="713" t="s">
        <v>165</v>
      </c>
      <c r="J164" s="713"/>
      <c r="K164" s="713"/>
      <c r="L164" s="713"/>
      <c r="M164" s="713"/>
      <c r="N164" s="713"/>
      <c r="O164" s="713"/>
      <c r="P164" s="766"/>
      <c r="Q164" s="752"/>
      <c r="R164" s="752"/>
      <c r="S164" s="753"/>
    </row>
    <row r="165" spans="2:19" ht="21.95" customHeight="1" x14ac:dyDescent="0.15">
      <c r="B165" s="760" t="s">
        <v>21</v>
      </c>
      <c r="C165" s="761"/>
      <c r="D165" s="761"/>
      <c r="E165" s="761"/>
      <c r="F165" s="761"/>
      <c r="G165" s="761"/>
      <c r="H165" s="762"/>
      <c r="I165" s="713" t="s">
        <v>165</v>
      </c>
      <c r="J165" s="713"/>
      <c r="K165" s="713"/>
      <c r="L165" s="713"/>
      <c r="M165" s="713"/>
      <c r="N165" s="713"/>
      <c r="O165" s="713"/>
      <c r="P165" s="766"/>
      <c r="Q165" s="752"/>
      <c r="R165" s="752"/>
      <c r="S165" s="753"/>
    </row>
    <row r="166" spans="2:19" ht="21.95" customHeight="1" x14ac:dyDescent="0.15">
      <c r="B166" s="760" t="s">
        <v>22</v>
      </c>
      <c r="C166" s="761"/>
      <c r="D166" s="761"/>
      <c r="E166" s="761"/>
      <c r="F166" s="761"/>
      <c r="G166" s="761"/>
      <c r="H166" s="762"/>
      <c r="I166" s="1193" t="s">
        <v>53</v>
      </c>
      <c r="J166" s="1193"/>
      <c r="K166" s="1193"/>
      <c r="L166" s="1193"/>
      <c r="M166" s="1193"/>
      <c r="N166" s="1193"/>
      <c r="O166" s="1193"/>
      <c r="P166" s="1194"/>
      <c r="Q166" s="752"/>
      <c r="R166" s="752"/>
      <c r="S166" s="753"/>
    </row>
    <row r="167" spans="2:19" ht="21.95" customHeight="1" x14ac:dyDescent="0.15">
      <c r="B167" s="760" t="s">
        <v>23</v>
      </c>
      <c r="C167" s="761"/>
      <c r="D167" s="761"/>
      <c r="E167" s="761"/>
      <c r="F167" s="761"/>
      <c r="G167" s="761"/>
      <c r="H167" s="762"/>
      <c r="I167" s="1193" t="s">
        <v>165</v>
      </c>
      <c r="J167" s="1193"/>
      <c r="K167" s="1193"/>
      <c r="L167" s="1193"/>
      <c r="M167" s="1193"/>
      <c r="N167" s="1193"/>
      <c r="O167" s="1193"/>
      <c r="P167" s="1194"/>
      <c r="Q167" s="752"/>
      <c r="R167" s="752"/>
      <c r="S167" s="753"/>
    </row>
    <row r="168" spans="2:19" ht="21.95" customHeight="1" x14ac:dyDescent="0.15">
      <c r="B168" s="760" t="s">
        <v>24</v>
      </c>
      <c r="C168" s="761"/>
      <c r="D168" s="761"/>
      <c r="E168" s="761"/>
      <c r="F168" s="761"/>
      <c r="G168" s="761"/>
      <c r="H168" s="762"/>
      <c r="I168" s="1193" t="s">
        <v>165</v>
      </c>
      <c r="J168" s="1193"/>
      <c r="K168" s="1193"/>
      <c r="L168" s="1193"/>
      <c r="M168" s="1193"/>
      <c r="N168" s="1193"/>
      <c r="O168" s="1193"/>
      <c r="P168" s="1194"/>
      <c r="Q168" s="752"/>
      <c r="R168" s="752"/>
      <c r="S168" s="753"/>
    </row>
    <row r="169" spans="2:19" ht="21.95" customHeight="1" x14ac:dyDescent="0.15">
      <c r="B169" s="760" t="s">
        <v>1330</v>
      </c>
      <c r="C169" s="761"/>
      <c r="D169" s="761"/>
      <c r="E169" s="761"/>
      <c r="F169" s="761"/>
      <c r="G169" s="761"/>
      <c r="H169" s="762"/>
      <c r="I169" s="713" t="s">
        <v>165</v>
      </c>
      <c r="J169" s="713"/>
      <c r="K169" s="713"/>
      <c r="L169" s="713"/>
      <c r="M169" s="713"/>
      <c r="N169" s="713"/>
      <c r="O169" s="713"/>
      <c r="P169" s="766"/>
      <c r="Q169" s="752"/>
      <c r="R169" s="752"/>
      <c r="S169" s="753"/>
    </row>
    <row r="170" spans="2:19" ht="21.95" customHeight="1" x14ac:dyDescent="0.15">
      <c r="B170" s="760" t="s">
        <v>25</v>
      </c>
      <c r="C170" s="764"/>
      <c r="D170" s="764"/>
      <c r="E170" s="764"/>
      <c r="F170" s="764"/>
      <c r="G170" s="764"/>
      <c r="H170" s="765"/>
      <c r="I170" s="713" t="s">
        <v>165</v>
      </c>
      <c r="J170" s="713"/>
      <c r="K170" s="713"/>
      <c r="L170" s="713"/>
      <c r="M170" s="713"/>
      <c r="N170" s="713"/>
      <c r="O170" s="713"/>
      <c r="P170" s="766"/>
      <c r="Q170" s="752"/>
      <c r="R170" s="752"/>
      <c r="S170" s="753"/>
    </row>
    <row r="171" spans="2:19" ht="21.95" customHeight="1" x14ac:dyDescent="0.15">
      <c r="B171" s="760" t="s">
        <v>1515</v>
      </c>
      <c r="C171" s="764"/>
      <c r="D171" s="764"/>
      <c r="E171" s="764"/>
      <c r="F171" s="764"/>
      <c r="G171" s="764"/>
      <c r="H171" s="765"/>
      <c r="I171" s="713" t="s">
        <v>165</v>
      </c>
      <c r="J171" s="713"/>
      <c r="K171" s="713"/>
      <c r="L171" s="713"/>
      <c r="M171" s="713"/>
      <c r="N171" s="713"/>
      <c r="O171" s="713"/>
      <c r="P171" s="766"/>
      <c r="Q171" s="752"/>
      <c r="R171" s="752"/>
      <c r="S171" s="753"/>
    </row>
    <row r="172" spans="2:19" ht="21.95" customHeight="1" x14ac:dyDescent="0.15">
      <c r="B172" s="760" t="s">
        <v>1514</v>
      </c>
      <c r="C172" s="764"/>
      <c r="D172" s="764"/>
      <c r="E172" s="764"/>
      <c r="F172" s="764"/>
      <c r="G172" s="764"/>
      <c r="H172" s="765"/>
      <c r="I172" s="713" t="s">
        <v>165</v>
      </c>
      <c r="J172" s="713"/>
      <c r="K172" s="713"/>
      <c r="L172" s="713"/>
      <c r="M172" s="713"/>
      <c r="N172" s="713"/>
      <c r="O172" s="713"/>
      <c r="P172" s="766"/>
      <c r="Q172" s="752"/>
      <c r="R172" s="752"/>
      <c r="S172" s="753"/>
    </row>
    <row r="173" spans="2:19" ht="21.95" customHeight="1" x14ac:dyDescent="0.15">
      <c r="B173" s="760" t="s">
        <v>26</v>
      </c>
      <c r="C173" s="761"/>
      <c r="D173" s="761"/>
      <c r="E173" s="761"/>
      <c r="F173" s="761"/>
      <c r="G173" s="761"/>
      <c r="H173" s="762"/>
      <c r="I173" s="713" t="s">
        <v>165</v>
      </c>
      <c r="J173" s="713"/>
      <c r="K173" s="713"/>
      <c r="L173" s="713"/>
      <c r="M173" s="713"/>
      <c r="N173" s="713"/>
      <c r="O173" s="713"/>
      <c r="P173" s="766"/>
      <c r="Q173" s="752"/>
      <c r="R173" s="752"/>
      <c r="S173" s="753"/>
    </row>
    <row r="174" spans="2:19" ht="21.95" customHeight="1" x14ac:dyDescent="0.15">
      <c r="B174" s="760" t="s">
        <v>27</v>
      </c>
      <c r="C174" s="761"/>
      <c r="D174" s="761"/>
      <c r="E174" s="761"/>
      <c r="F174" s="761"/>
      <c r="G174" s="761"/>
      <c r="H174" s="762"/>
      <c r="I174" s="713" t="s">
        <v>645</v>
      </c>
      <c r="J174" s="713"/>
      <c r="K174" s="713"/>
      <c r="L174" s="713"/>
      <c r="M174" s="713"/>
      <c r="N174" s="713"/>
      <c r="O174" s="713"/>
      <c r="P174" s="766"/>
      <c r="Q174" s="752"/>
      <c r="R174" s="752"/>
      <c r="S174" s="753"/>
    </row>
    <row r="175" spans="2:19" ht="21.95" customHeight="1" x14ac:dyDescent="0.15">
      <c r="B175" s="760" t="s">
        <v>111</v>
      </c>
      <c r="C175" s="761"/>
      <c r="D175" s="761"/>
      <c r="E175" s="761"/>
      <c r="F175" s="761"/>
      <c r="G175" s="761"/>
      <c r="H175" s="762"/>
      <c r="I175" s="713" t="s">
        <v>165</v>
      </c>
      <c r="J175" s="713"/>
      <c r="K175" s="713"/>
      <c r="L175" s="713"/>
      <c r="M175" s="713"/>
      <c r="N175" s="713"/>
      <c r="O175" s="713"/>
      <c r="P175" s="766"/>
      <c r="Q175" s="752"/>
      <c r="R175" s="752"/>
      <c r="S175" s="753"/>
    </row>
    <row r="176" spans="2:19" ht="21.95" customHeight="1" x14ac:dyDescent="0.15">
      <c r="B176" s="760" t="s">
        <v>112</v>
      </c>
      <c r="C176" s="761"/>
      <c r="D176" s="761"/>
      <c r="E176" s="761"/>
      <c r="F176" s="761"/>
      <c r="G176" s="761"/>
      <c r="H176" s="762"/>
      <c r="I176" s="713" t="s">
        <v>165</v>
      </c>
      <c r="J176" s="713"/>
      <c r="K176" s="713"/>
      <c r="L176" s="713"/>
      <c r="M176" s="713"/>
      <c r="N176" s="713"/>
      <c r="O176" s="713"/>
      <c r="P176" s="766"/>
      <c r="Q176" s="752"/>
      <c r="R176" s="752"/>
      <c r="S176" s="753"/>
    </row>
    <row r="177" spans="2:24" ht="21.95" customHeight="1" x14ac:dyDescent="0.15">
      <c r="B177" s="760" t="s">
        <v>28</v>
      </c>
      <c r="C177" s="761"/>
      <c r="D177" s="761"/>
      <c r="E177" s="761"/>
      <c r="F177" s="761"/>
      <c r="G177" s="761"/>
      <c r="H177" s="762"/>
      <c r="I177" s="713" t="s">
        <v>165</v>
      </c>
      <c r="J177" s="713"/>
      <c r="K177" s="713"/>
      <c r="L177" s="713"/>
      <c r="M177" s="713"/>
      <c r="N177" s="713"/>
      <c r="O177" s="713"/>
      <c r="P177" s="766"/>
      <c r="Q177" s="752"/>
      <c r="R177" s="752"/>
      <c r="S177" s="753"/>
    </row>
    <row r="178" spans="2:24" ht="21.95" customHeight="1" x14ac:dyDescent="0.15">
      <c r="B178" s="760" t="s">
        <v>29</v>
      </c>
      <c r="C178" s="761"/>
      <c r="D178" s="761"/>
      <c r="E178" s="761"/>
      <c r="F178" s="761"/>
      <c r="G178" s="761"/>
      <c r="H178" s="762"/>
      <c r="I178" s="713" t="s">
        <v>1331</v>
      </c>
      <c r="J178" s="713"/>
      <c r="K178" s="713"/>
      <c r="L178" s="713"/>
      <c r="M178" s="713"/>
      <c r="N178" s="713"/>
      <c r="O178" s="713"/>
      <c r="P178" s="766"/>
      <c r="Q178" s="752"/>
      <c r="R178" s="752"/>
      <c r="S178" s="753"/>
    </row>
    <row r="179" spans="2:24" ht="21.95" customHeight="1" x14ac:dyDescent="0.15">
      <c r="B179" s="760" t="s">
        <v>30</v>
      </c>
      <c r="C179" s="761"/>
      <c r="D179" s="761"/>
      <c r="E179" s="761"/>
      <c r="F179" s="761"/>
      <c r="G179" s="761"/>
      <c r="H179" s="762"/>
      <c r="I179" s="713" t="s">
        <v>165</v>
      </c>
      <c r="J179" s="713"/>
      <c r="K179" s="713"/>
      <c r="L179" s="713"/>
      <c r="M179" s="713"/>
      <c r="N179" s="713"/>
      <c r="O179" s="713"/>
      <c r="P179" s="766"/>
      <c r="Q179" s="752"/>
      <c r="R179" s="752"/>
      <c r="S179" s="753"/>
    </row>
    <row r="180" spans="2:24" ht="21.95" customHeight="1" x14ac:dyDescent="0.15">
      <c r="B180" s="760" t="s">
        <v>31</v>
      </c>
      <c r="C180" s="761"/>
      <c r="D180" s="761"/>
      <c r="E180" s="761"/>
      <c r="F180" s="761"/>
      <c r="G180" s="761"/>
      <c r="H180" s="762"/>
      <c r="I180" s="713" t="s">
        <v>165</v>
      </c>
      <c r="J180" s="713"/>
      <c r="K180" s="713"/>
      <c r="L180" s="713"/>
      <c r="M180" s="713"/>
      <c r="N180" s="713"/>
      <c r="O180" s="713"/>
      <c r="P180" s="766"/>
      <c r="Q180" s="752"/>
      <c r="R180" s="752"/>
      <c r="S180" s="753"/>
    </row>
    <row r="181" spans="2:24" ht="21.95" customHeight="1" x14ac:dyDescent="0.15">
      <c r="B181" s="760" t="s">
        <v>1332</v>
      </c>
      <c r="C181" s="761"/>
      <c r="D181" s="761"/>
      <c r="E181" s="761"/>
      <c r="F181" s="761"/>
      <c r="G181" s="761"/>
      <c r="H181" s="762"/>
      <c r="I181" s="713" t="s">
        <v>165</v>
      </c>
      <c r="J181" s="713"/>
      <c r="K181" s="713"/>
      <c r="L181" s="713"/>
      <c r="M181" s="713"/>
      <c r="N181" s="713"/>
      <c r="O181" s="713"/>
      <c r="P181" s="766"/>
      <c r="Q181" s="752"/>
      <c r="R181" s="752"/>
      <c r="S181" s="753"/>
    </row>
    <row r="182" spans="2:24" ht="21.95" customHeight="1" x14ac:dyDescent="0.15">
      <c r="B182" s="760" t="s">
        <v>32</v>
      </c>
      <c r="C182" s="761"/>
      <c r="D182" s="761"/>
      <c r="E182" s="761"/>
      <c r="F182" s="761"/>
      <c r="G182" s="761"/>
      <c r="H182" s="762"/>
      <c r="I182" s="713" t="s">
        <v>1331</v>
      </c>
      <c r="J182" s="713"/>
      <c r="K182" s="713"/>
      <c r="L182" s="713"/>
      <c r="M182" s="713"/>
      <c r="N182" s="713"/>
      <c r="O182" s="713"/>
      <c r="P182" s="766"/>
      <c r="Q182" s="752"/>
      <c r="R182" s="752"/>
      <c r="S182" s="753"/>
    </row>
    <row r="183" spans="2:24" ht="21.95" customHeight="1" x14ac:dyDescent="0.15">
      <c r="B183" s="760" t="s">
        <v>33</v>
      </c>
      <c r="C183" s="761"/>
      <c r="D183" s="761"/>
      <c r="E183" s="761"/>
      <c r="F183" s="761"/>
      <c r="G183" s="761"/>
      <c r="H183" s="762"/>
      <c r="I183" s="713" t="s">
        <v>165</v>
      </c>
      <c r="J183" s="713"/>
      <c r="K183" s="713"/>
      <c r="L183" s="713"/>
      <c r="M183" s="713"/>
      <c r="N183" s="713"/>
      <c r="O183" s="713"/>
      <c r="P183" s="766"/>
      <c r="Q183" s="752"/>
      <c r="R183" s="752"/>
      <c r="S183" s="753"/>
      <c r="X183" s="376"/>
    </row>
    <row r="184" spans="2:24" ht="21.95" customHeight="1" x14ac:dyDescent="0.15">
      <c r="B184" s="760" t="s">
        <v>1333</v>
      </c>
      <c r="C184" s="761"/>
      <c r="D184" s="761"/>
      <c r="E184" s="761"/>
      <c r="F184" s="761"/>
      <c r="G184" s="761"/>
      <c r="H184" s="762"/>
      <c r="I184" s="713" t="s">
        <v>165</v>
      </c>
      <c r="J184" s="713"/>
      <c r="K184" s="713"/>
      <c r="L184" s="713"/>
      <c r="M184" s="713"/>
      <c r="N184" s="713"/>
      <c r="O184" s="713"/>
      <c r="P184" s="766"/>
      <c r="Q184" s="752"/>
      <c r="R184" s="752"/>
      <c r="S184" s="753"/>
      <c r="X184" s="376"/>
    </row>
    <row r="185" spans="2:24" ht="21.95" customHeight="1" x14ac:dyDescent="0.15">
      <c r="B185" s="760" t="s">
        <v>34</v>
      </c>
      <c r="C185" s="761"/>
      <c r="D185" s="761"/>
      <c r="E185" s="761"/>
      <c r="F185" s="761"/>
      <c r="G185" s="761"/>
      <c r="H185" s="762"/>
      <c r="I185" s="713" t="s">
        <v>165</v>
      </c>
      <c r="J185" s="713"/>
      <c r="K185" s="713"/>
      <c r="L185" s="713"/>
      <c r="M185" s="713"/>
      <c r="N185" s="713"/>
      <c r="O185" s="713"/>
      <c r="P185" s="766"/>
      <c r="Q185" s="752"/>
      <c r="R185" s="752"/>
      <c r="S185" s="753"/>
      <c r="X185" s="376"/>
    </row>
    <row r="186" spans="2:24" ht="21.95" customHeight="1" x14ac:dyDescent="0.15">
      <c r="B186" s="760" t="s">
        <v>35</v>
      </c>
      <c r="C186" s="761"/>
      <c r="D186" s="761"/>
      <c r="E186" s="761"/>
      <c r="F186" s="761"/>
      <c r="G186" s="761"/>
      <c r="H186" s="762"/>
      <c r="I186" s="713" t="s">
        <v>165</v>
      </c>
      <c r="J186" s="713"/>
      <c r="K186" s="713"/>
      <c r="L186" s="713"/>
      <c r="M186" s="713"/>
      <c r="N186" s="713"/>
      <c r="O186" s="713"/>
      <c r="P186" s="766"/>
      <c r="Q186" s="752"/>
      <c r="R186" s="752"/>
      <c r="S186" s="753"/>
      <c r="X186" s="376"/>
    </row>
    <row r="187" spans="2:24" ht="21.95" customHeight="1" x14ac:dyDescent="0.15">
      <c r="B187" s="760" t="s">
        <v>36</v>
      </c>
      <c r="C187" s="761"/>
      <c r="D187" s="761"/>
      <c r="E187" s="761"/>
      <c r="F187" s="761"/>
      <c r="G187" s="761"/>
      <c r="H187" s="762"/>
      <c r="I187" s="713" t="s">
        <v>166</v>
      </c>
      <c r="J187" s="713"/>
      <c r="K187" s="713"/>
      <c r="L187" s="713"/>
      <c r="M187" s="713"/>
      <c r="N187" s="713"/>
      <c r="O187" s="713"/>
      <c r="P187" s="766"/>
      <c r="Q187" s="752"/>
      <c r="R187" s="752"/>
      <c r="S187" s="753"/>
      <c r="X187" s="376"/>
    </row>
    <row r="188" spans="2:24" ht="21.95" customHeight="1" x14ac:dyDescent="0.15">
      <c r="B188" s="760" t="s">
        <v>37</v>
      </c>
      <c r="C188" s="761"/>
      <c r="D188" s="761"/>
      <c r="E188" s="761"/>
      <c r="F188" s="761"/>
      <c r="G188" s="761"/>
      <c r="H188" s="762"/>
      <c r="I188" s="1193" t="s">
        <v>165</v>
      </c>
      <c r="J188" s="1193"/>
      <c r="K188" s="1193"/>
      <c r="L188" s="1193"/>
      <c r="M188" s="1193"/>
      <c r="N188" s="1193"/>
      <c r="O188" s="1193"/>
      <c r="P188" s="1194"/>
      <c r="Q188" s="752"/>
      <c r="R188" s="752"/>
      <c r="S188" s="753"/>
      <c r="X188" s="376"/>
    </row>
    <row r="189" spans="2:24" ht="21.95" customHeight="1" x14ac:dyDescent="0.15">
      <c r="B189" s="760" t="s">
        <v>38</v>
      </c>
      <c r="C189" s="761"/>
      <c r="D189" s="761"/>
      <c r="E189" s="761"/>
      <c r="F189" s="761"/>
      <c r="G189" s="761"/>
      <c r="H189" s="762"/>
      <c r="I189" s="1193" t="s">
        <v>165</v>
      </c>
      <c r="J189" s="1193"/>
      <c r="K189" s="1193"/>
      <c r="L189" s="1193"/>
      <c r="M189" s="1193"/>
      <c r="N189" s="1193"/>
      <c r="O189" s="1193"/>
      <c r="P189" s="1194"/>
      <c r="Q189" s="752"/>
      <c r="R189" s="752"/>
      <c r="S189" s="753"/>
      <c r="X189" s="376"/>
    </row>
    <row r="190" spans="2:24" ht="21.95" customHeight="1" x14ac:dyDescent="0.15">
      <c r="B190" s="760" t="s">
        <v>39</v>
      </c>
      <c r="C190" s="761"/>
      <c r="D190" s="761"/>
      <c r="E190" s="761"/>
      <c r="F190" s="761"/>
      <c r="G190" s="761"/>
      <c r="H190" s="762"/>
      <c r="I190" s="1193" t="s">
        <v>165</v>
      </c>
      <c r="J190" s="1193"/>
      <c r="K190" s="1193"/>
      <c r="L190" s="1193"/>
      <c r="M190" s="1193"/>
      <c r="N190" s="1193"/>
      <c r="O190" s="1193"/>
      <c r="P190" s="1194"/>
      <c r="Q190" s="752"/>
      <c r="R190" s="752"/>
      <c r="S190" s="753"/>
      <c r="X190" s="376"/>
    </row>
    <row r="191" spans="2:24" ht="21.95" customHeight="1" x14ac:dyDescent="0.15">
      <c r="B191" s="760" t="s">
        <v>40</v>
      </c>
      <c r="C191" s="761"/>
      <c r="D191" s="761"/>
      <c r="E191" s="761"/>
      <c r="F191" s="761"/>
      <c r="G191" s="761"/>
      <c r="H191" s="762"/>
      <c r="I191" s="1193" t="s">
        <v>165</v>
      </c>
      <c r="J191" s="1193"/>
      <c r="K191" s="1193"/>
      <c r="L191" s="1193"/>
      <c r="M191" s="1193"/>
      <c r="N191" s="1193"/>
      <c r="O191" s="1193"/>
      <c r="P191" s="1194"/>
      <c r="Q191" s="752"/>
      <c r="R191" s="752"/>
      <c r="S191" s="753"/>
      <c r="X191" s="376"/>
    </row>
    <row r="192" spans="2:24" ht="21.95" customHeight="1" x14ac:dyDescent="0.15">
      <c r="B192" s="1693" t="s">
        <v>41</v>
      </c>
      <c r="C192" s="1694"/>
      <c r="D192" s="1694"/>
      <c r="E192" s="1694"/>
      <c r="F192" s="1694"/>
      <c r="G192" s="1694"/>
      <c r="H192" s="1695"/>
      <c r="I192" s="1150" t="s">
        <v>165</v>
      </c>
      <c r="J192" s="1150"/>
      <c r="K192" s="1150"/>
      <c r="L192" s="1150"/>
      <c r="M192" s="1150"/>
      <c r="N192" s="1150"/>
      <c r="O192" s="1150"/>
      <c r="P192" s="1696"/>
      <c r="Q192" s="793"/>
      <c r="R192" s="793"/>
      <c r="S192" s="794"/>
      <c r="X192" s="410"/>
    </row>
    <row r="193" spans="1:49" x14ac:dyDescent="0.15">
      <c r="B193" s="55"/>
      <c r="C193" s="55"/>
      <c r="O193" s="55"/>
      <c r="P193" s="55"/>
      <c r="Q193" s="55"/>
      <c r="R193" s="55"/>
      <c r="S193" s="55"/>
      <c r="T193" s="55"/>
      <c r="X193" s="391"/>
    </row>
    <row r="194" spans="1:49" ht="13.5" customHeight="1" x14ac:dyDescent="0.15">
      <c r="A194" s="36"/>
      <c r="B194" s="399"/>
      <c r="C194" s="399"/>
      <c r="D194" s="399"/>
      <c r="E194" s="399"/>
      <c r="F194" s="399"/>
      <c r="G194" s="128"/>
      <c r="H194" s="128"/>
      <c r="I194" s="128"/>
      <c r="J194" s="128"/>
      <c r="K194" s="468"/>
      <c r="L194" s="468"/>
      <c r="M194" s="468"/>
      <c r="N194" s="453"/>
      <c r="O194" s="468"/>
      <c r="P194" s="468"/>
      <c r="Q194" s="468"/>
      <c r="R194" s="453"/>
      <c r="S194" s="468"/>
      <c r="T194" s="468"/>
      <c r="U194" s="468"/>
      <c r="V194" s="453"/>
      <c r="X194" s="391"/>
    </row>
    <row r="195" spans="1:49" ht="27" customHeight="1" x14ac:dyDescent="0.15">
      <c r="A195" s="1220" t="s">
        <v>1763</v>
      </c>
      <c r="B195" s="1220"/>
      <c r="C195" s="1220"/>
      <c r="D195" s="1220"/>
      <c r="E195" s="1220"/>
      <c r="F195" s="1220"/>
      <c r="G195" s="1220"/>
      <c r="H195" s="1220"/>
      <c r="I195" s="1220"/>
      <c r="J195" s="1220"/>
      <c r="K195" s="1220"/>
      <c r="L195" s="1220"/>
      <c r="M195" s="65"/>
      <c r="N195" s="65"/>
      <c r="O195" s="65"/>
      <c r="P195" s="65"/>
      <c r="Q195" s="55"/>
      <c r="R195" s="55"/>
      <c r="S195" s="55"/>
      <c r="T195" s="55"/>
      <c r="U195" s="55"/>
      <c r="V195" s="55"/>
      <c r="X195" s="391"/>
    </row>
    <row r="196" spans="1:49" ht="13.5" customHeight="1" x14ac:dyDescent="0.15">
      <c r="A196" s="430" t="s">
        <v>72</v>
      </c>
      <c r="B196" s="763" t="s">
        <v>1822</v>
      </c>
      <c r="C196" s="763"/>
      <c r="D196" s="763"/>
      <c r="E196" s="763"/>
      <c r="F196" s="763"/>
      <c r="G196" s="763"/>
      <c r="H196" s="763"/>
      <c r="I196" s="763"/>
      <c r="J196" s="763"/>
      <c r="K196" s="763"/>
      <c r="L196" s="763"/>
      <c r="M196" s="763"/>
      <c r="N196" s="763"/>
      <c r="O196" s="763"/>
      <c r="P196" s="763"/>
      <c r="Q196" s="763"/>
      <c r="R196" s="763"/>
      <c r="S196" s="763"/>
      <c r="T196" s="763"/>
      <c r="U196" s="763"/>
      <c r="V196" s="55"/>
      <c r="X196" s="391"/>
    </row>
    <row r="197" spans="1:49" ht="24" customHeight="1" x14ac:dyDescent="0.15">
      <c r="A197" s="71"/>
      <c r="B197" s="1280" t="s">
        <v>1758</v>
      </c>
      <c r="C197" s="1280"/>
      <c r="D197" s="1280"/>
      <c r="E197" s="1280"/>
      <c r="F197" s="1381" t="s">
        <v>1759</v>
      </c>
      <c r="G197" s="1382"/>
      <c r="H197" s="1382"/>
      <c r="I197" s="1382"/>
      <c r="J197" s="1382"/>
      <c r="K197" s="1383"/>
      <c r="L197" s="1659"/>
      <c r="M197" s="1660"/>
      <c r="N197" s="1660"/>
      <c r="O197" s="1660"/>
      <c r="P197" s="1660"/>
      <c r="Q197" s="1661"/>
      <c r="R197" s="491"/>
      <c r="S197" s="491"/>
      <c r="T197" s="55"/>
      <c r="U197" s="55"/>
      <c r="W197" s="55"/>
      <c r="X197" s="410"/>
      <c r="Y197" s="55"/>
      <c r="AU197" s="377"/>
      <c r="AV197" s="377"/>
      <c r="AW197" s="377"/>
    </row>
    <row r="198" spans="1:49" s="55" customFormat="1" ht="5.0999999999999996" customHeight="1" x14ac:dyDescent="0.15">
      <c r="A198" s="71"/>
      <c r="B198" s="434"/>
      <c r="C198" s="434"/>
      <c r="D198" s="434"/>
      <c r="E198" s="434"/>
      <c r="F198" s="434"/>
      <c r="G198" s="434"/>
      <c r="H198" s="434"/>
      <c r="I198" s="434"/>
      <c r="J198" s="434"/>
      <c r="K198" s="434"/>
      <c r="L198" s="434"/>
      <c r="M198" s="434"/>
      <c r="N198" s="434"/>
      <c r="O198" s="434"/>
      <c r="P198" s="434"/>
      <c r="Q198" s="434"/>
      <c r="R198" s="28"/>
      <c r="S198" s="28"/>
      <c r="X198" s="66"/>
      <c r="Z198" s="382"/>
      <c r="AA198" s="382"/>
      <c r="AB198" s="382"/>
      <c r="AC198" s="382"/>
      <c r="AD198" s="382"/>
      <c r="AE198" s="382"/>
      <c r="AF198" s="382"/>
      <c r="AG198" s="382"/>
      <c r="AH198" s="382"/>
      <c r="AI198" s="382"/>
      <c r="AJ198" s="382"/>
      <c r="AK198" s="382"/>
      <c r="AL198" s="382"/>
      <c r="AM198" s="382"/>
      <c r="AN198" s="382"/>
      <c r="AO198" s="382"/>
      <c r="AP198" s="382"/>
      <c r="AQ198" s="382"/>
      <c r="AR198" s="382"/>
      <c r="AS198" s="382"/>
      <c r="AT198" s="382"/>
      <c r="AU198" s="382"/>
      <c r="AV198" s="382"/>
      <c r="AW198" s="382"/>
    </row>
    <row r="199" spans="1:49" ht="13.5" customHeight="1" x14ac:dyDescent="0.15">
      <c r="A199" s="71" t="s">
        <v>1808</v>
      </c>
      <c r="B199" s="447" t="s">
        <v>1810</v>
      </c>
      <c r="C199" s="447"/>
      <c r="D199" s="492"/>
      <c r="E199" s="492"/>
      <c r="F199" s="492"/>
      <c r="G199" s="492"/>
      <c r="H199" s="492"/>
      <c r="I199" s="492"/>
      <c r="J199" s="492"/>
      <c r="K199" s="492"/>
      <c r="L199" s="492"/>
      <c r="M199" s="492"/>
      <c r="N199" s="492"/>
      <c r="O199" s="492"/>
      <c r="P199" s="492"/>
      <c r="Q199" s="492"/>
      <c r="R199" s="492"/>
      <c r="S199" s="492"/>
      <c r="T199" s="55"/>
      <c r="U199" s="55"/>
      <c r="X199" s="66"/>
    </row>
    <row r="200" spans="1:49" ht="24" customHeight="1" x14ac:dyDescent="0.15">
      <c r="A200" s="71"/>
      <c r="B200" s="1115" t="s">
        <v>1776</v>
      </c>
      <c r="C200" s="1115"/>
      <c r="D200" s="1115"/>
      <c r="E200" s="1115"/>
      <c r="F200" s="1646" t="s">
        <v>1811</v>
      </c>
      <c r="G200" s="1647"/>
      <c r="H200" s="1647"/>
      <c r="I200" s="1647"/>
      <c r="J200" s="1647"/>
      <c r="K200" s="1648"/>
      <c r="L200" s="1288"/>
      <c r="M200" s="1288"/>
      <c r="N200" s="1288"/>
      <c r="O200" s="1288"/>
      <c r="P200" s="1288"/>
      <c r="Q200" s="1288"/>
      <c r="R200" s="493"/>
      <c r="S200" s="493"/>
      <c r="T200" s="55"/>
      <c r="U200" s="55"/>
      <c r="W200" s="55"/>
      <c r="X200" s="410"/>
      <c r="Y200" s="55"/>
      <c r="AU200" s="377"/>
      <c r="AV200" s="377"/>
      <c r="AW200" s="377"/>
    </row>
    <row r="201" spans="1:49" ht="24" customHeight="1" x14ac:dyDescent="0.15">
      <c r="A201" s="71"/>
      <c r="B201" s="1115"/>
      <c r="C201" s="1115"/>
      <c r="D201" s="1115"/>
      <c r="E201" s="1115"/>
      <c r="F201" s="1395" t="s">
        <v>1812</v>
      </c>
      <c r="G201" s="1395"/>
      <c r="H201" s="1395"/>
      <c r="I201" s="1395"/>
      <c r="J201" s="1395"/>
      <c r="K201" s="1395"/>
      <c r="L201" s="1411"/>
      <c r="M201" s="1411"/>
      <c r="N201" s="1411"/>
      <c r="O201" s="1411"/>
      <c r="P201" s="1411"/>
      <c r="Q201" s="1411"/>
      <c r="R201" s="491"/>
      <c r="S201" s="491"/>
      <c r="T201" s="491"/>
      <c r="U201" s="55"/>
      <c r="W201" s="55"/>
      <c r="X201" s="494"/>
      <c r="Y201" s="495"/>
      <c r="Z201" s="495"/>
      <c r="AA201" s="495"/>
      <c r="AB201" s="495"/>
      <c r="AC201" s="495"/>
      <c r="AD201" s="495"/>
      <c r="AE201" s="495"/>
      <c r="AF201" s="495"/>
      <c r="AU201" s="377"/>
      <c r="AV201" s="377"/>
      <c r="AW201" s="377"/>
    </row>
    <row r="202" spans="1:49" ht="45" customHeight="1" x14ac:dyDescent="0.15">
      <c r="A202" s="71"/>
      <c r="B202" s="1115"/>
      <c r="C202" s="1115"/>
      <c r="D202" s="1115"/>
      <c r="E202" s="1115"/>
      <c r="F202" s="1644" t="s">
        <v>1813</v>
      </c>
      <c r="G202" s="1644"/>
      <c r="H202" s="1644"/>
      <c r="I202" s="1644"/>
      <c r="J202" s="1644"/>
      <c r="K202" s="1644"/>
      <c r="L202" s="1645"/>
      <c r="M202" s="1645"/>
      <c r="N202" s="1645"/>
      <c r="O202" s="1645"/>
      <c r="P202" s="1645"/>
      <c r="Q202" s="1645"/>
      <c r="R202" s="1645"/>
      <c r="S202" s="1645"/>
      <c r="T202" s="55"/>
      <c r="U202" s="55"/>
      <c r="W202" s="55"/>
      <c r="X202" s="494"/>
      <c r="Y202" s="495"/>
      <c r="Z202" s="495"/>
      <c r="AA202" s="495"/>
      <c r="AB202" s="495"/>
      <c r="AC202" s="495"/>
      <c r="AD202" s="495"/>
      <c r="AE202" s="495"/>
      <c r="AF202" s="495"/>
      <c r="AU202" s="377"/>
      <c r="AV202" s="377"/>
      <c r="AW202" s="377"/>
    </row>
    <row r="203" spans="1:49" ht="5.0999999999999996" customHeight="1" x14ac:dyDescent="0.15">
      <c r="A203" s="71"/>
      <c r="B203" s="404"/>
      <c r="C203" s="404"/>
      <c r="D203" s="404"/>
      <c r="E203" s="404"/>
      <c r="F203" s="455"/>
      <c r="G203" s="455"/>
      <c r="H203" s="455"/>
      <c r="I203" s="455"/>
      <c r="J203" s="455"/>
      <c r="K203" s="455"/>
      <c r="L203" s="496"/>
      <c r="M203" s="496"/>
      <c r="N203" s="496"/>
      <c r="O203" s="496"/>
      <c r="P203" s="496"/>
      <c r="Q203" s="496"/>
      <c r="R203" s="496"/>
      <c r="S203" s="496"/>
      <c r="T203" s="55"/>
      <c r="U203" s="55"/>
      <c r="W203" s="55"/>
      <c r="X203" s="494"/>
      <c r="Y203" s="495"/>
      <c r="Z203" s="495"/>
      <c r="AA203" s="495"/>
      <c r="AB203" s="495"/>
      <c r="AC203" s="495"/>
      <c r="AD203" s="495"/>
      <c r="AE203" s="495"/>
      <c r="AF203" s="495"/>
      <c r="AU203" s="377"/>
      <c r="AV203" s="377"/>
      <c r="AW203" s="377"/>
    </row>
    <row r="204" spans="1:49" ht="27" customHeight="1" x14ac:dyDescent="0.15">
      <c r="A204" s="71"/>
      <c r="B204" s="756" t="s">
        <v>1954</v>
      </c>
      <c r="C204" s="756"/>
      <c r="D204" s="756"/>
      <c r="E204" s="756"/>
      <c r="F204" s="756"/>
      <c r="G204" s="756"/>
      <c r="H204" s="756"/>
      <c r="I204" s="756"/>
      <c r="J204" s="756"/>
      <c r="K204" s="756"/>
      <c r="L204" s="756"/>
      <c r="M204" s="756"/>
      <c r="N204" s="756"/>
      <c r="O204" s="756"/>
      <c r="P204" s="756"/>
      <c r="Q204" s="756"/>
      <c r="R204" s="756"/>
      <c r="S204" s="756"/>
      <c r="T204" s="55"/>
      <c r="U204" s="55"/>
      <c r="X204" s="66"/>
    </row>
    <row r="205" spans="1:49" ht="24" customHeight="1" x14ac:dyDescent="0.15">
      <c r="B205" s="1658" t="s">
        <v>1859</v>
      </c>
      <c r="C205" s="1147" t="s">
        <v>1760</v>
      </c>
      <c r="D205" s="1148"/>
      <c r="E205" s="1148"/>
      <c r="F205" s="1148"/>
      <c r="G205" s="1148"/>
      <c r="H205" s="1148"/>
      <c r="I205" s="1148"/>
      <c r="J205" s="1148"/>
      <c r="K205" s="1148"/>
      <c r="L205" s="1148"/>
      <c r="M205" s="1148"/>
      <c r="N205" s="1148"/>
      <c r="O205" s="1148"/>
      <c r="P205" s="1148"/>
      <c r="Q205" s="1148"/>
      <c r="R205" s="1149"/>
      <c r="S205" s="400"/>
      <c r="U205" s="55"/>
      <c r="W205" s="54"/>
      <c r="X205" s="410"/>
      <c r="AU205" s="377"/>
    </row>
    <row r="206" spans="1:49" ht="24" customHeight="1" x14ac:dyDescent="0.15">
      <c r="B206" s="1658"/>
      <c r="C206" s="760" t="s">
        <v>1762</v>
      </c>
      <c r="D206" s="761"/>
      <c r="E206" s="761"/>
      <c r="F206" s="761"/>
      <c r="G206" s="761"/>
      <c r="H206" s="761"/>
      <c r="I206" s="761"/>
      <c r="J206" s="761"/>
      <c r="K206" s="761"/>
      <c r="L206" s="761"/>
      <c r="M206" s="761"/>
      <c r="N206" s="761"/>
      <c r="O206" s="761"/>
      <c r="P206" s="761"/>
      <c r="Q206" s="761"/>
      <c r="R206" s="762"/>
      <c r="S206" s="401"/>
      <c r="U206" s="55"/>
      <c r="W206" s="54"/>
      <c r="X206" s="410"/>
      <c r="AU206" s="377"/>
    </row>
    <row r="207" spans="1:49" ht="45" customHeight="1" x14ac:dyDescent="0.15">
      <c r="B207" s="1658"/>
      <c r="C207" s="1655" t="s">
        <v>1761</v>
      </c>
      <c r="D207" s="1656"/>
      <c r="E207" s="1656"/>
      <c r="F207" s="1656"/>
      <c r="G207" s="1656"/>
      <c r="H207" s="1656"/>
      <c r="I207" s="1656"/>
      <c r="J207" s="1656"/>
      <c r="K207" s="1656"/>
      <c r="L207" s="1656"/>
      <c r="M207" s="1656"/>
      <c r="N207" s="1656"/>
      <c r="O207" s="1656"/>
      <c r="P207" s="1656"/>
      <c r="Q207" s="1656"/>
      <c r="R207" s="1657"/>
      <c r="S207" s="402"/>
      <c r="U207" s="55"/>
      <c r="W207" s="54"/>
      <c r="X207" s="410"/>
      <c r="AU207" s="377"/>
    </row>
    <row r="208" spans="1:49" ht="24" customHeight="1" x14ac:dyDescent="0.15">
      <c r="B208" s="1658"/>
      <c r="C208" s="1092" t="s">
        <v>1775</v>
      </c>
      <c r="D208" s="1093"/>
      <c r="E208" s="1093"/>
      <c r="F208" s="1094"/>
      <c r="G208" s="1652"/>
      <c r="H208" s="1653"/>
      <c r="I208" s="1653"/>
      <c r="J208" s="1653"/>
      <c r="K208" s="1653"/>
      <c r="L208" s="1653"/>
      <c r="M208" s="1653"/>
      <c r="N208" s="1653"/>
      <c r="O208" s="1653"/>
      <c r="P208" s="1653"/>
      <c r="Q208" s="1653"/>
      <c r="R208" s="1653"/>
      <c r="S208" s="1654"/>
      <c r="U208" s="55"/>
      <c r="W208" s="54"/>
      <c r="X208" s="410"/>
      <c r="AU208" s="377"/>
    </row>
    <row r="209" spans="1:49" ht="5.0999999999999996" customHeight="1" x14ac:dyDescent="0.15">
      <c r="A209" s="71"/>
      <c r="B209" s="447"/>
      <c r="C209" s="447"/>
      <c r="D209" s="492"/>
      <c r="E209" s="492"/>
      <c r="F209" s="492"/>
      <c r="G209" s="492"/>
      <c r="H209" s="492"/>
      <c r="I209" s="492"/>
      <c r="J209" s="492"/>
      <c r="K209" s="492"/>
      <c r="L209" s="492"/>
      <c r="M209" s="492"/>
      <c r="N209" s="492"/>
      <c r="O209" s="492"/>
      <c r="P209" s="492"/>
      <c r="Q209" s="492"/>
      <c r="R209" s="492"/>
      <c r="S209" s="492"/>
      <c r="T209" s="55"/>
      <c r="U209" s="55"/>
      <c r="X209" s="66"/>
    </row>
    <row r="210" spans="1:49" ht="13.5" customHeight="1" x14ac:dyDescent="0.15">
      <c r="A210" s="71" t="s">
        <v>1808</v>
      </c>
      <c r="B210" s="447" t="s">
        <v>1837</v>
      </c>
      <c r="C210" s="404"/>
      <c r="D210" s="404"/>
      <c r="E210" s="404"/>
      <c r="F210" s="455"/>
      <c r="G210" s="455"/>
      <c r="H210" s="455"/>
      <c r="I210" s="455"/>
      <c r="J210" s="455"/>
      <c r="K210" s="455"/>
      <c r="L210" s="496"/>
      <c r="M210" s="496"/>
      <c r="N210" s="496"/>
      <c r="O210" s="496"/>
      <c r="P210" s="496"/>
      <c r="Q210" s="496"/>
      <c r="R210" s="496"/>
      <c r="S210" s="496"/>
      <c r="T210" s="55"/>
      <c r="U210" s="55"/>
      <c r="W210" s="55"/>
      <c r="X210" s="494"/>
      <c r="Y210" s="495"/>
      <c r="Z210" s="495"/>
      <c r="AA210" s="495"/>
      <c r="AB210" s="495"/>
      <c r="AC210" s="495"/>
      <c r="AD210" s="495"/>
      <c r="AE210" s="495"/>
      <c r="AF210" s="495"/>
      <c r="AU210" s="377"/>
      <c r="AV210" s="377"/>
      <c r="AW210" s="377"/>
    </row>
    <row r="211" spans="1:49" ht="24" customHeight="1" x14ac:dyDescent="0.15">
      <c r="A211" s="71"/>
      <c r="B211" s="731" t="s">
        <v>1809</v>
      </c>
      <c r="C211" s="731"/>
      <c r="D211" s="731"/>
      <c r="E211" s="731"/>
      <c r="F211" s="1641" t="s">
        <v>1814</v>
      </c>
      <c r="G211" s="1642"/>
      <c r="H211" s="1642"/>
      <c r="I211" s="1642"/>
      <c r="J211" s="1642"/>
      <c r="K211" s="1642"/>
      <c r="L211" s="1642"/>
      <c r="M211" s="1642"/>
      <c r="N211" s="1642"/>
      <c r="O211" s="1642"/>
      <c r="P211" s="1643"/>
      <c r="Q211" s="406"/>
      <c r="R211" s="55"/>
      <c r="S211" s="55"/>
      <c r="T211" s="55"/>
      <c r="U211" s="55"/>
      <c r="W211" s="55"/>
      <c r="X211" s="494"/>
      <c r="Y211" s="495"/>
      <c r="Z211" s="495"/>
      <c r="AA211" s="495"/>
      <c r="AB211" s="495"/>
      <c r="AC211" s="495"/>
      <c r="AD211" s="495"/>
      <c r="AE211" s="495"/>
      <c r="AF211" s="495"/>
      <c r="AU211" s="377"/>
      <c r="AV211" s="377"/>
      <c r="AW211" s="377"/>
    </row>
    <row r="212" spans="1:49" ht="24" customHeight="1" x14ac:dyDescent="0.15">
      <c r="A212" s="71"/>
      <c r="B212" s="731"/>
      <c r="C212" s="731"/>
      <c r="D212" s="731"/>
      <c r="E212" s="731"/>
      <c r="F212" s="1638" t="s">
        <v>1815</v>
      </c>
      <c r="G212" s="1639"/>
      <c r="H212" s="1639"/>
      <c r="I212" s="1639"/>
      <c r="J212" s="1639"/>
      <c r="K212" s="1639"/>
      <c r="L212" s="1639"/>
      <c r="M212" s="1639"/>
      <c r="N212" s="1639"/>
      <c r="O212" s="1639"/>
      <c r="P212" s="1640"/>
      <c r="Q212" s="407" t="str">
        <f>IF(SUM(Q213:Q218)&gt;0,1,"")</f>
        <v/>
      </c>
      <c r="R212" s="491"/>
      <c r="S212" s="491"/>
      <c r="T212" s="491"/>
      <c r="U212" s="491"/>
      <c r="V212" s="491"/>
      <c r="W212" s="491"/>
      <c r="X212" s="494"/>
      <c r="Y212" s="495"/>
      <c r="Z212" s="495"/>
      <c r="AA212" s="495"/>
      <c r="AB212" s="495"/>
      <c r="AC212" s="495"/>
      <c r="AD212" s="495"/>
      <c r="AE212" s="495"/>
      <c r="AF212" s="495"/>
      <c r="AU212" s="377"/>
      <c r="AV212" s="377"/>
      <c r="AW212" s="377"/>
    </row>
    <row r="213" spans="1:49" ht="24" customHeight="1" x14ac:dyDescent="0.15">
      <c r="A213" s="71"/>
      <c r="B213" s="731"/>
      <c r="C213" s="731"/>
      <c r="D213" s="731"/>
      <c r="E213" s="731"/>
      <c r="F213" s="408"/>
      <c r="G213" s="408"/>
      <c r="H213" s="409"/>
      <c r="I213" s="1650" t="s">
        <v>1816</v>
      </c>
      <c r="J213" s="1650"/>
      <c r="K213" s="1650"/>
      <c r="L213" s="1650"/>
      <c r="M213" s="1650"/>
      <c r="N213" s="1650"/>
      <c r="O213" s="1650"/>
      <c r="P213" s="1650"/>
      <c r="Q213" s="406"/>
      <c r="R213" s="55"/>
      <c r="S213" s="55"/>
      <c r="T213" s="55"/>
      <c r="U213" s="55"/>
      <c r="W213" s="55"/>
      <c r="X213" s="494"/>
      <c r="Y213" s="495"/>
      <c r="Z213" s="495"/>
      <c r="AA213" s="495"/>
      <c r="AB213" s="495"/>
      <c r="AC213" s="495"/>
      <c r="AD213" s="495"/>
      <c r="AE213" s="495"/>
      <c r="AF213" s="495"/>
      <c r="AU213" s="377"/>
      <c r="AV213" s="377"/>
      <c r="AW213" s="377"/>
    </row>
    <row r="214" spans="1:49" ht="24" customHeight="1" x14ac:dyDescent="0.15">
      <c r="A214" s="71"/>
      <c r="B214" s="731"/>
      <c r="C214" s="731"/>
      <c r="D214" s="731"/>
      <c r="E214" s="731"/>
      <c r="F214" s="408"/>
      <c r="G214" s="408"/>
      <c r="H214" s="409"/>
      <c r="I214" s="1650" t="s">
        <v>1817</v>
      </c>
      <c r="J214" s="1650"/>
      <c r="K214" s="1650"/>
      <c r="L214" s="1650"/>
      <c r="M214" s="1650"/>
      <c r="N214" s="1650"/>
      <c r="O214" s="1650"/>
      <c r="P214" s="1650"/>
      <c r="Q214" s="406"/>
      <c r="R214" s="55"/>
      <c r="S214" s="55"/>
      <c r="T214" s="55"/>
      <c r="U214" s="55"/>
      <c r="W214" s="55"/>
      <c r="X214" s="494"/>
      <c r="Y214" s="495"/>
      <c r="Z214" s="495"/>
      <c r="AA214" s="495"/>
      <c r="AB214" s="495"/>
      <c r="AC214" s="495"/>
      <c r="AD214" s="495"/>
      <c r="AE214" s="495"/>
      <c r="AF214" s="495"/>
      <c r="AU214" s="377"/>
      <c r="AV214" s="377"/>
      <c r="AW214" s="377"/>
    </row>
    <row r="215" spans="1:49" ht="24" customHeight="1" x14ac:dyDescent="0.15">
      <c r="A215" s="71"/>
      <c r="B215" s="731"/>
      <c r="C215" s="731"/>
      <c r="D215" s="731"/>
      <c r="E215" s="731"/>
      <c r="F215" s="408"/>
      <c r="G215" s="408"/>
      <c r="H215" s="409"/>
      <c r="I215" s="1650" t="s">
        <v>1818</v>
      </c>
      <c r="J215" s="1650"/>
      <c r="K215" s="1650"/>
      <c r="L215" s="1650"/>
      <c r="M215" s="1650"/>
      <c r="N215" s="1650"/>
      <c r="O215" s="1650"/>
      <c r="P215" s="1650"/>
      <c r="Q215" s="406"/>
      <c r="R215" s="55"/>
      <c r="S215" s="55"/>
      <c r="T215" s="55"/>
      <c r="U215" s="55"/>
      <c r="W215" s="55"/>
      <c r="X215" s="494"/>
      <c r="Y215" s="495"/>
      <c r="Z215" s="495"/>
      <c r="AA215" s="495"/>
      <c r="AB215" s="495"/>
      <c r="AC215" s="495"/>
      <c r="AD215" s="495"/>
      <c r="AE215" s="495"/>
      <c r="AF215" s="495"/>
      <c r="AU215" s="377"/>
      <c r="AV215" s="377"/>
      <c r="AW215" s="377"/>
    </row>
    <row r="216" spans="1:49" ht="24" customHeight="1" x14ac:dyDescent="0.15">
      <c r="A216" s="71"/>
      <c r="B216" s="731"/>
      <c r="C216" s="731"/>
      <c r="D216" s="731"/>
      <c r="E216" s="731"/>
      <c r="F216" s="408"/>
      <c r="G216" s="408"/>
      <c r="H216" s="409"/>
      <c r="I216" s="1650" t="s">
        <v>1819</v>
      </c>
      <c r="J216" s="1650"/>
      <c r="K216" s="1650"/>
      <c r="L216" s="1650"/>
      <c r="M216" s="1650"/>
      <c r="N216" s="1650"/>
      <c r="O216" s="1650"/>
      <c r="P216" s="1650"/>
      <c r="Q216" s="406"/>
      <c r="R216" s="55"/>
      <c r="S216" s="55"/>
      <c r="T216" s="55"/>
      <c r="U216" s="55"/>
      <c r="W216" s="55"/>
      <c r="X216" s="494"/>
      <c r="Y216" s="495"/>
      <c r="Z216" s="495"/>
      <c r="AA216" s="495"/>
      <c r="AB216" s="495"/>
      <c r="AC216" s="495"/>
      <c r="AD216" s="495"/>
      <c r="AE216" s="495"/>
      <c r="AF216" s="495"/>
      <c r="AU216" s="377"/>
      <c r="AV216" s="377"/>
      <c r="AW216" s="377"/>
    </row>
    <row r="217" spans="1:49" ht="24" customHeight="1" x14ac:dyDescent="0.15">
      <c r="A217" s="71"/>
      <c r="B217" s="731"/>
      <c r="C217" s="731"/>
      <c r="D217" s="731"/>
      <c r="E217" s="731"/>
      <c r="F217" s="408"/>
      <c r="G217" s="408"/>
      <c r="H217" s="409"/>
      <c r="I217" s="1650" t="s">
        <v>1820</v>
      </c>
      <c r="J217" s="1650"/>
      <c r="K217" s="1650"/>
      <c r="L217" s="1650"/>
      <c r="M217" s="1650"/>
      <c r="N217" s="1650"/>
      <c r="O217" s="1650"/>
      <c r="P217" s="1650"/>
      <c r="Q217" s="406"/>
      <c r="R217" s="55"/>
      <c r="S217" s="55"/>
      <c r="T217" s="55"/>
      <c r="U217" s="55"/>
      <c r="W217" s="55"/>
      <c r="X217" s="494"/>
      <c r="Y217" s="495"/>
      <c r="Z217" s="495"/>
      <c r="AA217" s="495"/>
      <c r="AB217" s="495"/>
      <c r="AC217" s="495"/>
      <c r="AD217" s="495"/>
      <c r="AE217" s="495"/>
      <c r="AF217" s="495"/>
      <c r="AU217" s="377"/>
      <c r="AV217" s="377"/>
      <c r="AW217" s="377"/>
    </row>
    <row r="218" spans="1:49" ht="24" customHeight="1" thickBot="1" x14ac:dyDescent="0.2">
      <c r="A218" s="71"/>
      <c r="B218" s="1651"/>
      <c r="C218" s="1651"/>
      <c r="D218" s="1651"/>
      <c r="E218" s="1651"/>
      <c r="F218" s="412"/>
      <c r="G218" s="412"/>
      <c r="H218" s="413"/>
      <c r="I218" s="1649" t="s">
        <v>1821</v>
      </c>
      <c r="J218" s="1649"/>
      <c r="K218" s="1649"/>
      <c r="L218" s="1649"/>
      <c r="M218" s="1649"/>
      <c r="N218" s="1649"/>
      <c r="O218" s="1649"/>
      <c r="P218" s="1649"/>
      <c r="Q218" s="414"/>
      <c r="R218" s="55"/>
      <c r="S218" s="55"/>
      <c r="T218" s="55"/>
      <c r="U218" s="55"/>
      <c r="W218" s="55"/>
      <c r="X218" s="494"/>
      <c r="Y218" s="495"/>
      <c r="Z218" s="495"/>
      <c r="AA218" s="495"/>
      <c r="AB218" s="495"/>
      <c r="AC218" s="495"/>
      <c r="AD218" s="495"/>
      <c r="AE218" s="495"/>
      <c r="AF218" s="495"/>
      <c r="AU218" s="377"/>
      <c r="AV218" s="377"/>
      <c r="AW218" s="377"/>
    </row>
    <row r="219" spans="1:49" ht="27" customHeight="1" thickTop="1" x14ac:dyDescent="0.15">
      <c r="A219" s="1275"/>
      <c r="B219" s="1632" t="s">
        <v>1836</v>
      </c>
      <c r="C219" s="1633"/>
      <c r="D219" s="1633"/>
      <c r="E219" s="1634"/>
      <c r="F219" s="1247" t="s">
        <v>610</v>
      </c>
      <c r="G219" s="1248"/>
      <c r="H219" s="1248"/>
      <c r="I219" s="405"/>
      <c r="J219" s="1249" t="s">
        <v>611</v>
      </c>
      <c r="K219" s="1249"/>
      <c r="L219" s="1249"/>
      <c r="M219" s="411"/>
      <c r="N219" s="1250" t="s">
        <v>612</v>
      </c>
      <c r="O219" s="1251"/>
      <c r="P219" s="1251"/>
      <c r="Q219" s="411"/>
      <c r="R219" s="55"/>
      <c r="S219" s="377"/>
      <c r="T219" s="377"/>
      <c r="U219" s="377"/>
      <c r="V219" s="377"/>
      <c r="AQ219" s="54"/>
      <c r="AR219" s="54"/>
      <c r="AS219" s="54"/>
      <c r="AT219" s="54"/>
    </row>
    <row r="220" spans="1:49" ht="27" customHeight="1" x14ac:dyDescent="0.15">
      <c r="A220" s="1275"/>
      <c r="B220" s="1635"/>
      <c r="C220" s="1636"/>
      <c r="D220" s="1636"/>
      <c r="E220" s="1637"/>
      <c r="F220" s="1041" t="s">
        <v>1846</v>
      </c>
      <c r="G220" s="1041"/>
      <c r="H220" s="1041"/>
      <c r="I220" s="1041"/>
      <c r="J220" s="1692"/>
      <c r="K220" s="1692"/>
      <c r="L220" s="1692"/>
      <c r="M220" s="1692"/>
      <c r="N220" s="1692"/>
      <c r="O220" s="1692"/>
      <c r="P220" s="1692"/>
      <c r="Q220" s="1692"/>
      <c r="R220" s="55"/>
      <c r="S220" s="377"/>
      <c r="T220" s="377"/>
      <c r="U220" s="377"/>
      <c r="V220" s="377"/>
      <c r="AQ220" s="54"/>
      <c r="AR220" s="54"/>
      <c r="AS220" s="54"/>
      <c r="AT220" s="54"/>
    </row>
    <row r="221" spans="1:49" ht="13.5" customHeight="1" x14ac:dyDescent="0.15">
      <c r="A221" s="55"/>
      <c r="B221" s="453"/>
      <c r="C221" s="36"/>
      <c r="D221" s="58"/>
      <c r="E221" s="58"/>
      <c r="F221" s="453"/>
      <c r="G221" s="453"/>
      <c r="H221" s="58"/>
      <c r="I221" s="58"/>
      <c r="J221" s="453"/>
      <c r="K221" s="453"/>
      <c r="L221" s="59"/>
      <c r="M221" s="453"/>
      <c r="N221" s="453"/>
      <c r="O221" s="453"/>
      <c r="P221" s="36"/>
      <c r="Q221" s="55"/>
      <c r="R221" s="453"/>
      <c r="S221" s="453"/>
      <c r="T221" s="453"/>
      <c r="U221" s="453"/>
      <c r="V221" s="55"/>
    </row>
    <row r="222" spans="1:49" ht="13.5" hidden="1" customHeight="1" x14ac:dyDescent="0.15">
      <c r="A222" s="212" t="s">
        <v>72</v>
      </c>
      <c r="B222" s="208" t="s">
        <v>613</v>
      </c>
      <c r="C222" s="210"/>
      <c r="D222" s="210"/>
      <c r="E222" s="224"/>
      <c r="F222" s="224"/>
      <c r="G222" s="224"/>
      <c r="H222" s="224"/>
      <c r="I222" s="224"/>
      <c r="J222" s="224"/>
      <c r="K222" s="224"/>
      <c r="L222" s="224"/>
      <c r="M222" s="224"/>
      <c r="N222" s="224"/>
      <c r="O222" s="224"/>
      <c r="P222" s="224"/>
      <c r="Q222" s="224"/>
      <c r="R222" s="224"/>
      <c r="S222" s="224"/>
      <c r="T222" s="224"/>
      <c r="U222" s="209"/>
      <c r="V222" s="212"/>
    </row>
    <row r="223" spans="1:49" ht="13.5" hidden="1" customHeight="1" x14ac:dyDescent="0.15">
      <c r="A223" s="212"/>
      <c r="B223" s="208"/>
      <c r="C223" s="210"/>
      <c r="D223" s="210"/>
      <c r="E223" s="224"/>
      <c r="F223" s="224"/>
      <c r="G223" s="224"/>
      <c r="H223" s="224"/>
      <c r="I223" s="224"/>
      <c r="J223" s="224"/>
      <c r="K223" s="224"/>
      <c r="L223" s="224"/>
      <c r="M223" s="224"/>
      <c r="N223" s="224"/>
      <c r="O223" s="224"/>
      <c r="P223" s="224"/>
      <c r="Q223" s="224"/>
      <c r="R223" s="224"/>
      <c r="S223" s="224"/>
      <c r="T223" s="224"/>
      <c r="U223" s="209"/>
      <c r="V223" s="212"/>
    </row>
    <row r="224" spans="1:49" ht="27" hidden="1" customHeight="1" x14ac:dyDescent="0.15">
      <c r="A224" s="767">
        <v>2018</v>
      </c>
      <c r="B224" s="1308" t="s">
        <v>614</v>
      </c>
      <c r="C224" s="1309"/>
      <c r="D224" s="1309"/>
      <c r="E224" s="1309"/>
      <c r="F224" s="1309"/>
      <c r="G224" s="1309"/>
      <c r="H224" s="1309"/>
      <c r="I224" s="1309"/>
      <c r="J224" s="1309"/>
      <c r="K224" s="1309"/>
      <c r="L224" s="1309"/>
      <c r="M224" s="1309"/>
      <c r="N224" s="1309"/>
      <c r="O224" s="1309"/>
      <c r="P224" s="1310"/>
      <c r="Q224" s="1314" t="s">
        <v>615</v>
      </c>
      <c r="R224" s="1315"/>
      <c r="S224" s="1315"/>
      <c r="T224" s="1316"/>
      <c r="U224" s="497"/>
      <c r="V224" s="212"/>
    </row>
    <row r="225" spans="1:22" ht="27" hidden="1" customHeight="1" x14ac:dyDescent="0.15">
      <c r="A225" s="767"/>
      <c r="B225" s="1311"/>
      <c r="C225" s="1312"/>
      <c r="D225" s="1312"/>
      <c r="E225" s="1312"/>
      <c r="F225" s="1312"/>
      <c r="G225" s="1312"/>
      <c r="H225" s="1312"/>
      <c r="I225" s="1312"/>
      <c r="J225" s="1312"/>
      <c r="K225" s="1312"/>
      <c r="L225" s="1312"/>
      <c r="M225" s="1312"/>
      <c r="N225" s="1312"/>
      <c r="O225" s="1312"/>
      <c r="P225" s="1313"/>
      <c r="Q225" s="1317" t="s">
        <v>616</v>
      </c>
      <c r="R225" s="1318"/>
      <c r="S225" s="1318"/>
      <c r="T225" s="1319"/>
      <c r="U225" s="498"/>
      <c r="V225" s="212"/>
    </row>
    <row r="226" spans="1:22" ht="27" hidden="1" customHeight="1" x14ac:dyDescent="0.15">
      <c r="A226" s="767"/>
      <c r="B226" s="1402" t="s">
        <v>617</v>
      </c>
      <c r="C226" s="1403"/>
      <c r="D226" s="1403"/>
      <c r="E226" s="1403"/>
      <c r="F226" s="1403"/>
      <c r="G226" s="1403"/>
      <c r="H226" s="1403"/>
      <c r="I226" s="1403"/>
      <c r="J226" s="1403"/>
      <c r="K226" s="1403"/>
      <c r="L226" s="1403"/>
      <c r="M226" s="1403"/>
      <c r="N226" s="1403"/>
      <c r="O226" s="1403"/>
      <c r="P226" s="1403"/>
      <c r="Q226" s="1404"/>
      <c r="R226" s="1516"/>
      <c r="S226" s="1517"/>
      <c r="T226" s="1518"/>
      <c r="U226" s="451" t="s">
        <v>73</v>
      </c>
      <c r="V226" s="212"/>
    </row>
    <row r="227" spans="1:22" ht="13.5" hidden="1" customHeight="1" x14ac:dyDescent="0.15">
      <c r="A227" s="212"/>
      <c r="B227" s="221" t="s">
        <v>618</v>
      </c>
      <c r="C227" s="208" t="s">
        <v>619</v>
      </c>
      <c r="D227" s="210"/>
      <c r="E227" s="224"/>
      <c r="F227" s="224"/>
      <c r="G227" s="224"/>
      <c r="H227" s="224"/>
      <c r="I227" s="224"/>
      <c r="J227" s="224"/>
      <c r="K227" s="224"/>
      <c r="L227" s="224"/>
      <c r="M227" s="224"/>
      <c r="N227" s="224"/>
      <c r="O227" s="224"/>
      <c r="P227" s="224"/>
      <c r="Q227" s="224"/>
      <c r="R227" s="224"/>
      <c r="S227" s="224"/>
      <c r="T227" s="224"/>
      <c r="U227" s="209"/>
      <c r="V227" s="212"/>
    </row>
    <row r="228" spans="1:22" ht="13.5" hidden="1" customHeight="1" x14ac:dyDescent="0.15">
      <c r="A228" s="212"/>
      <c r="B228" s="221" t="s">
        <v>618</v>
      </c>
      <c r="C228" s="208" t="s">
        <v>620</v>
      </c>
      <c r="D228" s="210"/>
      <c r="E228" s="224"/>
      <c r="F228" s="224"/>
      <c r="G228" s="224"/>
      <c r="H228" s="224"/>
      <c r="I228" s="224"/>
      <c r="J228" s="224"/>
      <c r="K228" s="224"/>
      <c r="L228" s="224"/>
      <c r="M228" s="224"/>
      <c r="N228" s="224"/>
      <c r="O228" s="224"/>
      <c r="P228" s="224"/>
      <c r="Q228" s="224"/>
      <c r="R228" s="224"/>
      <c r="S228" s="224"/>
      <c r="T228" s="224"/>
      <c r="U228" s="209"/>
      <c r="V228" s="212"/>
    </row>
    <row r="229" spans="1:22" ht="13.5" hidden="1" customHeight="1" x14ac:dyDescent="0.15">
      <c r="A229" s="212"/>
      <c r="B229" s="208"/>
      <c r="C229" s="208" t="s">
        <v>621</v>
      </c>
      <c r="D229" s="210"/>
      <c r="E229" s="224"/>
      <c r="F229" s="224"/>
      <c r="G229" s="224"/>
      <c r="H229" s="224"/>
      <c r="I229" s="224"/>
      <c r="J229" s="224"/>
      <c r="K229" s="224"/>
      <c r="L229" s="224"/>
      <c r="M229" s="224"/>
      <c r="N229" s="224"/>
      <c r="O229" s="224"/>
      <c r="P229" s="224"/>
      <c r="Q229" s="224"/>
      <c r="R229" s="224"/>
      <c r="S229" s="224"/>
      <c r="T229" s="224"/>
      <c r="U229" s="209"/>
      <c r="V229" s="212"/>
    </row>
    <row r="230" spans="1:22" ht="13.5" hidden="1" customHeight="1" x14ac:dyDescent="0.15">
      <c r="A230" s="223"/>
      <c r="B230" s="208"/>
      <c r="C230" s="213"/>
      <c r="D230" s="213"/>
      <c r="E230" s="213"/>
      <c r="F230" s="213"/>
      <c r="G230" s="213"/>
      <c r="H230" s="213"/>
      <c r="I230" s="213"/>
      <c r="J230" s="213"/>
      <c r="K230" s="213"/>
      <c r="L230" s="208"/>
      <c r="M230" s="210"/>
      <c r="N230" s="210"/>
      <c r="O230" s="221"/>
      <c r="P230" s="212"/>
      <c r="Q230" s="212"/>
      <c r="R230" s="212"/>
      <c r="S230" s="212"/>
      <c r="T230" s="212"/>
      <c r="U230" s="212"/>
      <c r="V230" s="212"/>
    </row>
    <row r="231" spans="1:22" ht="44.25" hidden="1" customHeight="1" x14ac:dyDescent="0.15">
      <c r="A231" s="1531">
        <v>2018</v>
      </c>
      <c r="B231" s="1164" t="s">
        <v>1311</v>
      </c>
      <c r="C231" s="1165"/>
      <c r="D231" s="1165"/>
      <c r="E231" s="1165"/>
      <c r="F231" s="1165"/>
      <c r="G231" s="1165"/>
      <c r="H231" s="1166"/>
      <c r="I231" s="1355" t="s">
        <v>1300</v>
      </c>
      <c r="J231" s="1356"/>
      <c r="K231" s="1357"/>
      <c r="L231" s="429"/>
      <c r="M231" s="1358" t="s">
        <v>1301</v>
      </c>
      <c r="N231" s="1359"/>
      <c r="O231" s="1360"/>
      <c r="P231" s="499"/>
      <c r="Q231" s="1699" t="s">
        <v>1302</v>
      </c>
      <c r="R231" s="1700"/>
      <c r="S231" s="1701"/>
      <c r="T231" s="499"/>
      <c r="U231" s="212"/>
      <c r="V231" s="212"/>
    </row>
    <row r="232" spans="1:22" ht="68.25" hidden="1" customHeight="1" x14ac:dyDescent="0.15">
      <c r="A232" s="1532"/>
      <c r="B232" s="1164" t="s">
        <v>1335</v>
      </c>
      <c r="C232" s="1165"/>
      <c r="D232" s="1165"/>
      <c r="E232" s="1165"/>
      <c r="F232" s="1165"/>
      <c r="G232" s="1165"/>
      <c r="H232" s="1166"/>
      <c r="I232" s="1255"/>
      <c r="J232" s="1256"/>
      <c r="K232" s="1256"/>
      <c r="L232" s="1256"/>
      <c r="M232" s="1256"/>
      <c r="N232" s="1256"/>
      <c r="O232" s="1256"/>
      <c r="P232" s="1256"/>
      <c r="Q232" s="1256"/>
      <c r="R232" s="1256"/>
      <c r="S232" s="1256"/>
      <c r="T232" s="1257"/>
      <c r="U232" s="212"/>
      <c r="V232" s="212"/>
    </row>
    <row r="233" spans="1:22" ht="13.5" hidden="1" customHeight="1" x14ac:dyDescent="0.15">
      <c r="A233" s="213"/>
      <c r="B233" s="221" t="s">
        <v>1303</v>
      </c>
      <c r="C233" s="1309" t="s">
        <v>1306</v>
      </c>
      <c r="D233" s="1309"/>
      <c r="E233" s="1309"/>
      <c r="F233" s="1309"/>
      <c r="G233" s="1309"/>
      <c r="H233" s="1309"/>
      <c r="I233" s="1309"/>
      <c r="J233" s="1309"/>
      <c r="K233" s="1309"/>
      <c r="L233" s="1309"/>
      <c r="M233" s="1309"/>
      <c r="N233" s="1309"/>
      <c r="O233" s="1309"/>
      <c r="P233" s="1309"/>
      <c r="Q233" s="1309"/>
      <c r="R233" s="1309"/>
      <c r="S233" s="1309"/>
      <c r="T233" s="1309"/>
      <c r="U233" s="1309"/>
      <c r="V233" s="212"/>
    </row>
    <row r="234" spans="1:22" ht="27" hidden="1" customHeight="1" x14ac:dyDescent="0.15">
      <c r="A234" s="213"/>
      <c r="B234" s="225" t="s">
        <v>1303</v>
      </c>
      <c r="C234" s="733" t="s">
        <v>1304</v>
      </c>
      <c r="D234" s="733"/>
      <c r="E234" s="733"/>
      <c r="F234" s="733"/>
      <c r="G234" s="733"/>
      <c r="H234" s="733"/>
      <c r="I234" s="733"/>
      <c r="J234" s="733"/>
      <c r="K234" s="733"/>
      <c r="L234" s="733"/>
      <c r="M234" s="733"/>
      <c r="N234" s="733"/>
      <c r="O234" s="733"/>
      <c r="P234" s="733"/>
      <c r="Q234" s="733"/>
      <c r="R234" s="733"/>
      <c r="S234" s="733"/>
      <c r="T234" s="733"/>
      <c r="U234" s="733"/>
      <c r="V234" s="212"/>
    </row>
    <row r="235" spans="1:22" ht="27" hidden="1" customHeight="1" x14ac:dyDescent="0.15">
      <c r="A235" s="213"/>
      <c r="B235" s="225" t="s">
        <v>1303</v>
      </c>
      <c r="C235" s="733" t="s">
        <v>1305</v>
      </c>
      <c r="D235" s="733"/>
      <c r="E235" s="733"/>
      <c r="F235" s="733"/>
      <c r="G235" s="733"/>
      <c r="H235" s="733"/>
      <c r="I235" s="733"/>
      <c r="J235" s="733"/>
      <c r="K235" s="733"/>
      <c r="L235" s="733"/>
      <c r="M235" s="733"/>
      <c r="N235" s="733"/>
      <c r="O235" s="733"/>
      <c r="P235" s="733"/>
      <c r="Q235" s="733"/>
      <c r="R235" s="733"/>
      <c r="S235" s="733"/>
      <c r="T235" s="733"/>
      <c r="U235" s="733"/>
      <c r="V235" s="212"/>
    </row>
    <row r="236" spans="1:22" ht="13.5" hidden="1" customHeight="1" x14ac:dyDescent="0.15">
      <c r="A236" s="213"/>
      <c r="B236" s="225"/>
      <c r="C236" s="446"/>
      <c r="D236" s="446"/>
      <c r="E236" s="446"/>
      <c r="F236" s="446"/>
      <c r="G236" s="446"/>
      <c r="H236" s="446"/>
      <c r="I236" s="446"/>
      <c r="J236" s="446"/>
      <c r="K236" s="446"/>
      <c r="L236" s="446"/>
      <c r="M236" s="446"/>
      <c r="N236" s="446"/>
      <c r="O236" s="446"/>
      <c r="P236" s="446"/>
      <c r="Q236" s="446"/>
      <c r="R236" s="446"/>
      <c r="S236" s="446"/>
      <c r="T236" s="446"/>
      <c r="U236" s="446"/>
      <c r="V236" s="212"/>
    </row>
    <row r="237" spans="1:22" ht="13.5" hidden="1" customHeight="1" x14ac:dyDescent="0.15">
      <c r="A237" s="212"/>
      <c r="B237" s="212"/>
      <c r="C237" s="212"/>
      <c r="D237" s="212"/>
      <c r="E237" s="212"/>
      <c r="F237" s="212"/>
      <c r="G237" s="212"/>
      <c r="H237" s="212"/>
      <c r="I237" s="212"/>
      <c r="J237" s="212"/>
      <c r="K237" s="212"/>
      <c r="L237" s="212"/>
      <c r="M237" s="212"/>
      <c r="N237" s="212"/>
      <c r="O237" s="212"/>
      <c r="P237" s="212"/>
      <c r="Q237" s="212"/>
      <c r="R237" s="212"/>
      <c r="S237" s="212"/>
      <c r="T237" s="212"/>
      <c r="U237" s="212"/>
      <c r="V237" s="212"/>
    </row>
    <row r="238" spans="1:22" ht="27" hidden="1" customHeight="1" x14ac:dyDescent="0.15">
      <c r="A238" s="1405" t="s">
        <v>1467</v>
      </c>
      <c r="B238" s="1405"/>
      <c r="C238" s="1405"/>
      <c r="D238" s="1405"/>
      <c r="E238" s="1405"/>
      <c r="F238" s="1405"/>
      <c r="G238" s="1405"/>
      <c r="H238" s="1405"/>
      <c r="I238" s="223"/>
      <c r="J238" s="212"/>
      <c r="K238" s="212"/>
      <c r="L238" s="212"/>
      <c r="M238" s="212"/>
      <c r="N238" s="212"/>
      <c r="O238" s="212"/>
      <c r="P238" s="212"/>
      <c r="Q238" s="212"/>
      <c r="R238" s="212"/>
      <c r="S238" s="212"/>
      <c r="T238" s="212"/>
      <c r="U238" s="212"/>
      <c r="V238" s="212"/>
    </row>
    <row r="239" spans="1:22" ht="13.5" hidden="1" customHeight="1" x14ac:dyDescent="0.15">
      <c r="A239" s="212" t="s">
        <v>622</v>
      </c>
      <c r="B239" s="212" t="s">
        <v>623</v>
      </c>
      <c r="C239" s="212"/>
      <c r="D239" s="212"/>
      <c r="E239" s="212"/>
      <c r="F239" s="212"/>
      <c r="G239" s="212"/>
      <c r="H239" s="212"/>
      <c r="I239" s="212"/>
      <c r="J239" s="212"/>
      <c r="K239" s="212"/>
      <c r="L239" s="212"/>
      <c r="M239" s="212"/>
      <c r="N239" s="212"/>
      <c r="O239" s="212"/>
      <c r="P239" s="212"/>
      <c r="Q239" s="212"/>
      <c r="R239" s="212"/>
      <c r="S239" s="212"/>
      <c r="T239" s="212"/>
      <c r="U239" s="212"/>
      <c r="V239" s="212"/>
    </row>
    <row r="240" spans="1:22" ht="13.5" hidden="1" customHeight="1" x14ac:dyDescent="0.15">
      <c r="A240" s="212"/>
      <c r="B240" s="212"/>
      <c r="C240" s="212"/>
      <c r="D240" s="212"/>
      <c r="E240" s="212"/>
      <c r="F240" s="212"/>
      <c r="G240" s="212"/>
      <c r="H240" s="212"/>
      <c r="I240" s="212"/>
      <c r="J240" s="212"/>
      <c r="K240" s="212"/>
      <c r="L240" s="212"/>
      <c r="M240" s="212"/>
      <c r="N240" s="212"/>
      <c r="O240" s="212"/>
      <c r="P240" s="212"/>
      <c r="Q240" s="212"/>
      <c r="R240" s="212"/>
      <c r="S240" s="212"/>
      <c r="T240" s="212"/>
      <c r="U240" s="212"/>
      <c r="V240" s="212"/>
    </row>
    <row r="241" spans="1:22" ht="24.95" hidden="1" customHeight="1" x14ac:dyDescent="0.15">
      <c r="A241" s="212"/>
      <c r="B241" s="1406" t="s">
        <v>624</v>
      </c>
      <c r="C241" s="1409" t="s">
        <v>625</v>
      </c>
      <c r="D241" s="1409"/>
      <c r="E241" s="1409"/>
      <c r="F241" s="1409"/>
      <c r="G241" s="1409"/>
      <c r="H241" s="1409"/>
      <c r="I241" s="1409"/>
      <c r="J241" s="1409"/>
      <c r="K241" s="1409"/>
      <c r="L241" s="1409"/>
      <c r="M241" s="1409"/>
      <c r="N241" s="1409"/>
      <c r="O241" s="1409"/>
      <c r="P241" s="1409"/>
      <c r="Q241" s="451"/>
      <c r="R241" s="212"/>
      <c r="S241" s="212"/>
      <c r="T241" s="212"/>
      <c r="U241" s="212"/>
      <c r="V241" s="212"/>
    </row>
    <row r="242" spans="1:22" ht="24.95" hidden="1" customHeight="1" x14ac:dyDescent="0.15">
      <c r="A242" s="212"/>
      <c r="B242" s="1407"/>
      <c r="C242" s="1410" t="s">
        <v>626</v>
      </c>
      <c r="D242" s="1410"/>
      <c r="E242" s="1410"/>
      <c r="F242" s="1410"/>
      <c r="G242" s="1410"/>
      <c r="H242" s="1410"/>
      <c r="I242" s="1410"/>
      <c r="J242" s="1410"/>
      <c r="K242" s="1410"/>
      <c r="L242" s="1410"/>
      <c r="M242" s="1410"/>
      <c r="N242" s="1410"/>
      <c r="O242" s="1410"/>
      <c r="P242" s="1410"/>
      <c r="Q242" s="1410"/>
      <c r="R242" s="212"/>
      <c r="S242" s="212"/>
      <c r="T242" s="212"/>
      <c r="U242" s="212"/>
      <c r="V242" s="212"/>
    </row>
    <row r="243" spans="1:22" ht="24.95" hidden="1" customHeight="1" x14ac:dyDescent="0.15">
      <c r="A243" s="212"/>
      <c r="B243" s="1407"/>
      <c r="C243" s="1286" t="s">
        <v>627</v>
      </c>
      <c r="D243" s="1286"/>
      <c r="E243" s="1286"/>
      <c r="F243" s="1286"/>
      <c r="G243" s="1286"/>
      <c r="H243" s="1286"/>
      <c r="I243" s="1286"/>
      <c r="J243" s="1286"/>
      <c r="K243" s="1286"/>
      <c r="L243" s="1286"/>
      <c r="M243" s="1286"/>
      <c r="N243" s="1286"/>
      <c r="O243" s="1286"/>
      <c r="P243" s="1286"/>
      <c r="Q243" s="440"/>
      <c r="R243" s="212"/>
      <c r="S243" s="212"/>
      <c r="T243" s="212"/>
      <c r="U243" s="212"/>
      <c r="V243" s="212"/>
    </row>
    <row r="244" spans="1:22" ht="24.95" hidden="1" customHeight="1" x14ac:dyDescent="0.15">
      <c r="A244" s="212"/>
      <c r="B244" s="1407"/>
      <c r="C244" s="775" t="s">
        <v>628</v>
      </c>
      <c r="D244" s="775"/>
      <c r="E244" s="775"/>
      <c r="F244" s="775"/>
      <c r="G244" s="775"/>
      <c r="H244" s="775"/>
      <c r="I244" s="775"/>
      <c r="J244" s="775"/>
      <c r="K244" s="775"/>
      <c r="L244" s="775"/>
      <c r="M244" s="775"/>
      <c r="N244" s="775"/>
      <c r="O244" s="775"/>
      <c r="P244" s="775"/>
      <c r="Q244" s="436"/>
      <c r="R244" s="212"/>
      <c r="S244" s="212"/>
      <c r="T244" s="212"/>
      <c r="U244" s="212"/>
      <c r="V244" s="212"/>
    </row>
    <row r="245" spans="1:22" ht="24.95" hidden="1" customHeight="1" x14ac:dyDescent="0.15">
      <c r="A245" s="212"/>
      <c r="B245" s="1408"/>
      <c r="C245" s="1326" t="s">
        <v>629</v>
      </c>
      <c r="D245" s="1326"/>
      <c r="E245" s="1326"/>
      <c r="F245" s="1326"/>
      <c r="G245" s="1326"/>
      <c r="H245" s="1326"/>
      <c r="I245" s="1326"/>
      <c r="J245" s="1326"/>
      <c r="K245" s="1326"/>
      <c r="L245" s="1326"/>
      <c r="M245" s="1326"/>
      <c r="N245" s="1326"/>
      <c r="O245" s="1326"/>
      <c r="P245" s="1326"/>
      <c r="Q245" s="215"/>
      <c r="R245" s="212"/>
      <c r="S245" s="212"/>
      <c r="T245" s="212"/>
      <c r="U245" s="212"/>
      <c r="V245" s="212"/>
    </row>
    <row r="246" spans="1:22" hidden="1" x14ac:dyDescent="0.15">
      <c r="A246" s="212"/>
      <c r="B246" s="212"/>
      <c r="C246" s="212"/>
      <c r="D246" s="212"/>
      <c r="E246" s="212"/>
      <c r="F246" s="212"/>
      <c r="G246" s="212"/>
      <c r="H246" s="212"/>
      <c r="I246" s="212"/>
      <c r="J246" s="212"/>
      <c r="K246" s="212"/>
      <c r="L246" s="212"/>
      <c r="M246" s="212"/>
      <c r="N246" s="212"/>
      <c r="O246" s="212"/>
      <c r="P246" s="212"/>
      <c r="Q246" s="212"/>
      <c r="R246" s="212"/>
      <c r="S246" s="212"/>
      <c r="T246" s="212"/>
      <c r="U246" s="212"/>
      <c r="V246" s="212"/>
    </row>
    <row r="247" spans="1:22" ht="24.95" hidden="1" customHeight="1" x14ac:dyDescent="0.15">
      <c r="A247" s="212" t="s">
        <v>622</v>
      </c>
      <c r="B247" s="212" t="s">
        <v>630</v>
      </c>
      <c r="C247" s="212"/>
      <c r="D247" s="212"/>
      <c r="E247" s="212"/>
      <c r="F247" s="212"/>
      <c r="G247" s="212"/>
      <c r="H247" s="212"/>
      <c r="I247" s="212"/>
      <c r="J247" s="212"/>
      <c r="K247" s="212"/>
      <c r="L247" s="212"/>
      <c r="M247" s="212"/>
      <c r="N247" s="212"/>
      <c r="O247" s="1208"/>
      <c r="P247" s="1210"/>
      <c r="Q247" s="451" t="s">
        <v>0</v>
      </c>
      <c r="R247" s="212"/>
      <c r="S247" s="212"/>
      <c r="T247" s="212"/>
      <c r="U247" s="212"/>
      <c r="V247" s="212"/>
    </row>
    <row r="248" spans="1:22" ht="13.5" hidden="1" customHeight="1" x14ac:dyDescent="0.15">
      <c r="A248" s="212"/>
      <c r="B248" s="212"/>
      <c r="C248" s="212"/>
      <c r="D248" s="212"/>
      <c r="E248" s="212"/>
      <c r="F248" s="212"/>
      <c r="G248" s="212"/>
      <c r="H248" s="212"/>
      <c r="I248" s="212"/>
      <c r="J248" s="212"/>
      <c r="K248" s="212"/>
      <c r="L248" s="212"/>
      <c r="M248" s="212"/>
      <c r="N248" s="212"/>
      <c r="O248" s="212"/>
      <c r="P248" s="212"/>
      <c r="Q248" s="212"/>
      <c r="R248" s="212"/>
      <c r="S248" s="212"/>
      <c r="T248" s="212"/>
      <c r="U248" s="212"/>
      <c r="V248" s="212"/>
    </row>
    <row r="249" spans="1:22" ht="27" customHeight="1" x14ac:dyDescent="0.15">
      <c r="A249" s="1220" t="s">
        <v>1764</v>
      </c>
      <c r="B249" s="1220"/>
      <c r="C249" s="1220"/>
      <c r="D249" s="1220"/>
      <c r="E249" s="1220"/>
      <c r="F249" s="1220"/>
      <c r="G249" s="1220"/>
      <c r="I249" s="403"/>
      <c r="O249" s="55"/>
      <c r="P249" s="55"/>
      <c r="Q249" s="55"/>
      <c r="R249" s="55"/>
      <c r="S249" s="55"/>
      <c r="T249" s="55"/>
      <c r="U249" s="55"/>
      <c r="V249" s="55"/>
    </row>
    <row r="250" spans="1:22" ht="13.5" hidden="1" customHeight="1" x14ac:dyDescent="0.15">
      <c r="A250" s="55" t="s">
        <v>622</v>
      </c>
      <c r="B250" s="55" t="s">
        <v>623</v>
      </c>
      <c r="C250" s="55"/>
      <c r="O250" s="55"/>
      <c r="P250" s="55"/>
      <c r="Q250" s="55"/>
      <c r="R250" s="55"/>
      <c r="S250" s="55"/>
      <c r="T250" s="55"/>
      <c r="U250" s="55"/>
      <c r="V250" s="55"/>
    </row>
    <row r="251" spans="1:22" ht="13.5" hidden="1" customHeight="1" x14ac:dyDescent="0.15">
      <c r="A251" s="55"/>
      <c r="B251" s="55"/>
      <c r="C251" s="55"/>
      <c r="O251" s="55"/>
      <c r="P251" s="55"/>
      <c r="Q251" s="55"/>
      <c r="R251" s="55"/>
      <c r="S251" s="55"/>
      <c r="T251" s="55"/>
      <c r="U251" s="55"/>
      <c r="V251" s="55"/>
    </row>
    <row r="252" spans="1:22" ht="24.95" hidden="1" customHeight="1" x14ac:dyDescent="0.15">
      <c r="A252" s="55"/>
      <c r="B252" s="1327" t="s">
        <v>624</v>
      </c>
      <c r="C252" s="1076" t="s">
        <v>637</v>
      </c>
      <c r="D252" s="1076"/>
      <c r="E252" s="1076"/>
      <c r="F252" s="1076"/>
      <c r="G252" s="1076"/>
      <c r="H252" s="1076"/>
      <c r="I252" s="1076"/>
      <c r="J252" s="1076"/>
      <c r="K252" s="1076"/>
      <c r="L252" s="1076"/>
      <c r="M252" s="1076"/>
      <c r="N252" s="1076"/>
      <c r="O252" s="1076"/>
      <c r="P252" s="1076"/>
      <c r="Q252" s="1076"/>
      <c r="R252" s="1076"/>
      <c r="S252" s="1076"/>
      <c r="T252" s="1076"/>
      <c r="U252" s="431"/>
      <c r="V252" s="55"/>
    </row>
    <row r="253" spans="1:22" ht="36.950000000000003" hidden="1" customHeight="1" x14ac:dyDescent="0.15">
      <c r="A253" s="55"/>
      <c r="B253" s="1328"/>
      <c r="C253" s="1330" t="s">
        <v>631</v>
      </c>
      <c r="D253" s="1330"/>
      <c r="E253" s="1330"/>
      <c r="F253" s="1330"/>
      <c r="G253" s="1330"/>
      <c r="H253" s="1330"/>
      <c r="I253" s="1330"/>
      <c r="J253" s="1330"/>
      <c r="K253" s="1330"/>
      <c r="L253" s="1330"/>
      <c r="M253" s="1330"/>
      <c r="N253" s="1330"/>
      <c r="O253" s="1330"/>
      <c r="P253" s="1330"/>
      <c r="Q253" s="1330"/>
      <c r="R253" s="1330"/>
      <c r="S253" s="1330"/>
      <c r="T253" s="1330"/>
      <c r="U253" s="418"/>
      <c r="V253" s="55"/>
    </row>
    <row r="254" spans="1:22" ht="24.95" hidden="1" customHeight="1" x14ac:dyDescent="0.15">
      <c r="A254" s="55"/>
      <c r="B254" s="1328"/>
      <c r="C254" s="1330" t="s">
        <v>632</v>
      </c>
      <c r="D254" s="1330"/>
      <c r="E254" s="1330"/>
      <c r="F254" s="1330"/>
      <c r="G254" s="1330"/>
      <c r="H254" s="1330"/>
      <c r="I254" s="1330"/>
      <c r="J254" s="1330"/>
      <c r="K254" s="1330"/>
      <c r="L254" s="1330"/>
      <c r="M254" s="1330"/>
      <c r="N254" s="1330"/>
      <c r="O254" s="1330"/>
      <c r="P254" s="1330"/>
      <c r="Q254" s="1330"/>
      <c r="R254" s="1330"/>
      <c r="S254" s="1330"/>
      <c r="T254" s="1330"/>
      <c r="U254" s="418"/>
      <c r="V254" s="55"/>
    </row>
    <row r="255" spans="1:22" ht="24.95" hidden="1" customHeight="1" x14ac:dyDescent="0.15">
      <c r="A255" s="55"/>
      <c r="B255" s="1328"/>
      <c r="C255" s="1330" t="s">
        <v>633</v>
      </c>
      <c r="D255" s="1330"/>
      <c r="E255" s="1330"/>
      <c r="F255" s="1330"/>
      <c r="G255" s="1330"/>
      <c r="H255" s="1330"/>
      <c r="I255" s="1330"/>
      <c r="J255" s="1330"/>
      <c r="K255" s="1330"/>
      <c r="L255" s="1330"/>
      <c r="M255" s="1330"/>
      <c r="N255" s="1330"/>
      <c r="O255" s="1330"/>
      <c r="P255" s="1330"/>
      <c r="Q255" s="1330"/>
      <c r="R255" s="1330"/>
      <c r="S255" s="1330"/>
      <c r="T255" s="1330"/>
      <c r="U255" s="418"/>
      <c r="V255" s="55"/>
    </row>
    <row r="256" spans="1:22" ht="36.950000000000003" hidden="1" customHeight="1" x14ac:dyDescent="0.15">
      <c r="A256" s="55"/>
      <c r="B256" s="1329"/>
      <c r="C256" s="1440" t="s">
        <v>634</v>
      </c>
      <c r="D256" s="1440"/>
      <c r="E256" s="1440"/>
      <c r="F256" s="1440"/>
      <c r="G256" s="1440"/>
      <c r="H256" s="1440"/>
      <c r="I256" s="1440"/>
      <c r="J256" s="1440"/>
      <c r="K256" s="1440"/>
      <c r="L256" s="1440"/>
      <c r="M256" s="1440"/>
      <c r="N256" s="1440"/>
      <c r="O256" s="1440"/>
      <c r="P256" s="1440"/>
      <c r="Q256" s="1440"/>
      <c r="R256" s="1440"/>
      <c r="S256" s="1440"/>
      <c r="T256" s="1440"/>
      <c r="U256" s="500"/>
      <c r="V256" s="55"/>
    </row>
    <row r="257" spans="1:47" ht="13.5" customHeight="1" x14ac:dyDescent="0.15">
      <c r="A257" s="55" t="s">
        <v>622</v>
      </c>
      <c r="B257" s="55" t="s">
        <v>1845</v>
      </c>
      <c r="C257" s="55"/>
      <c r="O257" s="55"/>
      <c r="P257" s="55"/>
      <c r="Q257" s="55"/>
      <c r="R257" s="55"/>
      <c r="S257" s="55"/>
      <c r="T257" s="55"/>
      <c r="U257" s="55"/>
      <c r="V257" s="55"/>
    </row>
    <row r="258" spans="1:47" ht="24" customHeight="1" x14ac:dyDescent="0.15">
      <c r="A258" s="55"/>
      <c r="B258" s="750" t="s">
        <v>1838</v>
      </c>
      <c r="C258" s="1143"/>
      <c r="D258" s="1143"/>
      <c r="E258" s="1143"/>
      <c r="F258" s="1143"/>
      <c r="G258" s="751"/>
      <c r="H258" s="1690"/>
      <c r="I258" s="1690"/>
      <c r="J258" s="1690"/>
      <c r="K258" s="1690"/>
      <c r="L258" s="1690"/>
      <c r="M258" s="1690"/>
      <c r="N258" s="1690"/>
      <c r="O258" s="1690"/>
      <c r="P258" s="1690"/>
      <c r="Q258" s="1690"/>
      <c r="R258" s="55"/>
      <c r="S258" s="55"/>
      <c r="T258" s="55"/>
      <c r="U258" s="377"/>
      <c r="V258" s="377"/>
      <c r="AS258" s="54"/>
      <c r="AT258" s="54"/>
    </row>
    <row r="259" spans="1:47" ht="5.0999999999999996" customHeight="1" x14ac:dyDescent="0.15">
      <c r="A259" s="55"/>
      <c r="B259" s="55"/>
      <c r="C259" s="55"/>
      <c r="D259" s="453"/>
      <c r="E259" s="434"/>
      <c r="F259" s="434"/>
      <c r="G259" s="434"/>
      <c r="H259" s="434"/>
      <c r="I259" s="434"/>
      <c r="J259" s="455"/>
      <c r="K259" s="455"/>
      <c r="L259" s="455"/>
      <c r="M259" s="455"/>
      <c r="N259" s="455"/>
      <c r="O259" s="455"/>
      <c r="P259" s="455"/>
      <c r="Q259" s="455"/>
      <c r="R259" s="455"/>
      <c r="S259" s="455"/>
      <c r="T259" s="55"/>
      <c r="U259" s="55"/>
      <c r="V259" s="55"/>
    </row>
    <row r="260" spans="1:47" ht="13.5" customHeight="1" x14ac:dyDescent="0.15">
      <c r="A260" s="55" t="s">
        <v>1808</v>
      </c>
      <c r="B260" s="55" t="s">
        <v>1844</v>
      </c>
      <c r="C260" s="55"/>
      <c r="D260" s="453"/>
      <c r="E260" s="453"/>
      <c r="F260" s="453"/>
      <c r="G260" s="453"/>
      <c r="H260" s="453"/>
      <c r="I260" s="453"/>
      <c r="J260" s="455"/>
      <c r="K260" s="455"/>
      <c r="L260" s="455"/>
      <c r="M260" s="455"/>
      <c r="N260" s="455"/>
      <c r="O260" s="455"/>
      <c r="P260" s="455"/>
      <c r="Q260" s="455"/>
      <c r="R260" s="455"/>
      <c r="S260" s="455"/>
      <c r="T260" s="55"/>
      <c r="U260" s="55"/>
      <c r="V260" s="55"/>
    </row>
    <row r="261" spans="1:47" ht="24" customHeight="1" x14ac:dyDescent="0.15">
      <c r="A261" s="55"/>
      <c r="B261" s="1691" t="s">
        <v>1843</v>
      </c>
      <c r="C261" s="1130" t="s">
        <v>1823</v>
      </c>
      <c r="D261" s="1130"/>
      <c r="E261" s="1130"/>
      <c r="F261" s="1130"/>
      <c r="G261" s="1130"/>
      <c r="H261" s="1130"/>
      <c r="I261" s="1130"/>
      <c r="J261" s="1130"/>
      <c r="K261" s="1130"/>
      <c r="L261" s="1130"/>
      <c r="M261" s="1130"/>
      <c r="N261" s="432"/>
      <c r="O261" s="55"/>
      <c r="P261" s="55"/>
      <c r="Q261" s="55"/>
      <c r="R261" s="55"/>
      <c r="S261" s="55"/>
      <c r="T261" s="55"/>
      <c r="U261" s="55"/>
      <c r="V261" s="55"/>
      <c r="W261" s="55"/>
      <c r="Y261" s="377" t="s">
        <v>1839</v>
      </c>
      <c r="AU261" s="377"/>
    </row>
    <row r="262" spans="1:47" ht="24" customHeight="1" x14ac:dyDescent="0.15">
      <c r="A262" s="55"/>
      <c r="B262" s="1691"/>
      <c r="C262" s="1130" t="s">
        <v>1824</v>
      </c>
      <c r="D262" s="1130"/>
      <c r="E262" s="1130"/>
      <c r="F262" s="1130"/>
      <c r="G262" s="1130"/>
      <c r="H262" s="1130"/>
      <c r="I262" s="1130"/>
      <c r="J262" s="1130"/>
      <c r="K262" s="1130"/>
      <c r="L262" s="1130"/>
      <c r="M262" s="1130"/>
      <c r="N262" s="432"/>
      <c r="O262" s="55"/>
      <c r="P262" s="55"/>
      <c r="Q262" s="55"/>
      <c r="R262" s="55"/>
      <c r="S262" s="55"/>
      <c r="T262" s="55"/>
      <c r="U262" s="55"/>
      <c r="V262" s="55"/>
      <c r="W262" s="55"/>
      <c r="Y262" s="377" t="s">
        <v>1840</v>
      </c>
      <c r="AU262" s="377"/>
    </row>
    <row r="263" spans="1:47" ht="24" customHeight="1" x14ac:dyDescent="0.15">
      <c r="A263" s="55"/>
      <c r="B263" s="1691"/>
      <c r="C263" s="1130" t="s">
        <v>1825</v>
      </c>
      <c r="D263" s="1130"/>
      <c r="E263" s="1130"/>
      <c r="F263" s="1130"/>
      <c r="G263" s="1130"/>
      <c r="H263" s="1130"/>
      <c r="I263" s="1130"/>
      <c r="J263" s="1130"/>
      <c r="K263" s="1130"/>
      <c r="L263" s="1130"/>
      <c r="M263" s="1130"/>
      <c r="N263" s="432"/>
      <c r="O263" s="55"/>
      <c r="P263" s="55"/>
      <c r="Q263" s="55"/>
      <c r="R263" s="55"/>
      <c r="S263" s="55"/>
      <c r="T263" s="55"/>
      <c r="U263" s="55"/>
      <c r="V263" s="55"/>
      <c r="W263" s="55"/>
      <c r="Y263" s="377" t="s">
        <v>1841</v>
      </c>
      <c r="AU263" s="377"/>
    </row>
    <row r="264" spans="1:47" ht="24" customHeight="1" x14ac:dyDescent="0.15">
      <c r="A264" s="55"/>
      <c r="B264" s="1691"/>
      <c r="C264" s="1130" t="s">
        <v>1826</v>
      </c>
      <c r="D264" s="1130"/>
      <c r="E264" s="1130"/>
      <c r="F264" s="1130"/>
      <c r="G264" s="1130"/>
      <c r="H264" s="1130"/>
      <c r="I264" s="1130"/>
      <c r="J264" s="1130"/>
      <c r="K264" s="1130"/>
      <c r="L264" s="1130"/>
      <c r="M264" s="1130"/>
      <c r="N264" s="432"/>
      <c r="O264" s="55"/>
      <c r="P264" s="55"/>
      <c r="Q264" s="55"/>
      <c r="R264" s="55"/>
      <c r="S264" s="55"/>
      <c r="T264" s="55"/>
      <c r="U264" s="55"/>
      <c r="V264" s="55"/>
      <c r="W264" s="55"/>
      <c r="Y264" s="377" t="s">
        <v>1842</v>
      </c>
      <c r="AU264" s="377"/>
    </row>
    <row r="265" spans="1:47" ht="24" customHeight="1" x14ac:dyDescent="0.15">
      <c r="A265" s="55"/>
      <c r="B265" s="1691"/>
      <c r="C265" s="1130" t="s">
        <v>1827</v>
      </c>
      <c r="D265" s="1130"/>
      <c r="E265" s="1130"/>
      <c r="F265" s="1130"/>
      <c r="G265" s="1130"/>
      <c r="H265" s="1130"/>
      <c r="I265" s="1130"/>
      <c r="J265" s="1130"/>
      <c r="K265" s="1130"/>
      <c r="L265" s="1130"/>
      <c r="M265" s="1130"/>
      <c r="N265" s="432"/>
      <c r="O265" s="55"/>
      <c r="P265" s="55"/>
      <c r="Q265" s="55"/>
      <c r="R265" s="55"/>
      <c r="S265" s="55"/>
      <c r="T265" s="55"/>
      <c r="U265" s="55"/>
      <c r="V265" s="377"/>
      <c r="AT265" s="54"/>
    </row>
    <row r="266" spans="1:47" ht="24" customHeight="1" x14ac:dyDescent="0.15">
      <c r="A266" s="55"/>
      <c r="B266" s="1691"/>
      <c r="C266" s="1130" t="s">
        <v>1828</v>
      </c>
      <c r="D266" s="1130"/>
      <c r="E266" s="1130"/>
      <c r="F266" s="1130"/>
      <c r="G266" s="1130"/>
      <c r="H266" s="1130"/>
      <c r="I266" s="1130"/>
      <c r="J266" s="1130"/>
      <c r="K266" s="1130"/>
      <c r="L266" s="1130"/>
      <c r="M266" s="1130"/>
      <c r="N266" s="432"/>
      <c r="O266" s="55"/>
      <c r="P266" s="55"/>
      <c r="Q266" s="55"/>
      <c r="R266" s="55"/>
      <c r="S266" s="55"/>
      <c r="T266" s="55"/>
      <c r="U266" s="55"/>
      <c r="V266" s="377"/>
      <c r="AT266" s="54"/>
    </row>
    <row r="267" spans="1:47" ht="24" customHeight="1" x14ac:dyDescent="0.15">
      <c r="A267" s="55"/>
      <c r="B267" s="1691"/>
      <c r="C267" s="1130" t="s">
        <v>1829</v>
      </c>
      <c r="D267" s="1130"/>
      <c r="E267" s="1130"/>
      <c r="F267" s="1130"/>
      <c r="G267" s="1130"/>
      <c r="H267" s="1130"/>
      <c r="I267" s="1130"/>
      <c r="J267" s="1130"/>
      <c r="K267" s="1130"/>
      <c r="L267" s="1130"/>
      <c r="M267" s="1130"/>
      <c r="N267" s="432"/>
      <c r="O267" s="55"/>
      <c r="P267" s="55"/>
      <c r="Q267" s="55"/>
      <c r="R267" s="55"/>
      <c r="S267" s="55"/>
      <c r="T267" s="55"/>
      <c r="U267" s="55"/>
      <c r="V267" s="377"/>
      <c r="AT267" s="54"/>
    </row>
    <row r="268" spans="1:47" ht="24" customHeight="1" x14ac:dyDescent="0.15">
      <c r="A268" s="55"/>
      <c r="B268" s="1691"/>
      <c r="C268" s="1130" t="s">
        <v>1830</v>
      </c>
      <c r="D268" s="1130"/>
      <c r="E268" s="1130"/>
      <c r="F268" s="1130"/>
      <c r="G268" s="1130"/>
      <c r="H268" s="1130"/>
      <c r="I268" s="1130"/>
      <c r="J268" s="1130"/>
      <c r="K268" s="1130"/>
      <c r="L268" s="1130"/>
      <c r="M268" s="1130"/>
      <c r="N268" s="432"/>
      <c r="O268" s="55"/>
      <c r="P268" s="55"/>
      <c r="Q268" s="55"/>
      <c r="R268" s="55"/>
      <c r="S268" s="55"/>
      <c r="T268" s="55"/>
      <c r="U268" s="55"/>
      <c r="V268" s="377"/>
      <c r="AT268" s="54"/>
    </row>
    <row r="269" spans="1:47" ht="24" customHeight="1" x14ac:dyDescent="0.15">
      <c r="A269" s="55"/>
      <c r="B269" s="1691"/>
      <c r="C269" s="1130" t="s">
        <v>1831</v>
      </c>
      <c r="D269" s="1130"/>
      <c r="E269" s="1130"/>
      <c r="F269" s="1130"/>
      <c r="G269" s="1130"/>
      <c r="H269" s="1130"/>
      <c r="I269" s="1130"/>
      <c r="J269" s="1130"/>
      <c r="K269" s="1130"/>
      <c r="L269" s="1130"/>
      <c r="M269" s="1130"/>
      <c r="N269" s="432"/>
      <c r="O269" s="55"/>
      <c r="P269" s="55"/>
      <c r="Q269" s="55"/>
      <c r="R269" s="55"/>
      <c r="S269" s="55"/>
      <c r="T269" s="55"/>
      <c r="U269" s="55"/>
      <c r="V269" s="377"/>
      <c r="AT269" s="54"/>
    </row>
    <row r="270" spans="1:47" ht="24" customHeight="1" x14ac:dyDescent="0.15">
      <c r="A270" s="55"/>
      <c r="B270" s="1691"/>
      <c r="C270" s="1130" t="s">
        <v>1832</v>
      </c>
      <c r="D270" s="1130"/>
      <c r="E270" s="1130"/>
      <c r="F270" s="1130"/>
      <c r="G270" s="1130"/>
      <c r="H270" s="1130"/>
      <c r="I270" s="1130"/>
      <c r="J270" s="1130"/>
      <c r="K270" s="1130"/>
      <c r="L270" s="1130"/>
      <c r="M270" s="1130"/>
      <c r="N270" s="432"/>
      <c r="O270" s="55"/>
      <c r="P270" s="55"/>
      <c r="Q270" s="55"/>
      <c r="R270" s="55"/>
      <c r="S270" s="55"/>
      <c r="T270" s="55"/>
      <c r="U270" s="55"/>
      <c r="V270" s="377"/>
      <c r="AT270" s="54"/>
    </row>
    <row r="271" spans="1:47" ht="24" customHeight="1" x14ac:dyDescent="0.15">
      <c r="A271" s="55"/>
      <c r="B271" s="1691"/>
      <c r="C271" s="1130" t="s">
        <v>1833</v>
      </c>
      <c r="D271" s="1130"/>
      <c r="E271" s="1130"/>
      <c r="F271" s="1130"/>
      <c r="G271" s="1130"/>
      <c r="H271" s="1130"/>
      <c r="I271" s="1130"/>
      <c r="J271" s="1130"/>
      <c r="K271" s="1130"/>
      <c r="L271" s="1130"/>
      <c r="M271" s="1130"/>
      <c r="N271" s="432"/>
      <c r="O271" s="55"/>
      <c r="P271" s="55"/>
      <c r="Q271" s="55"/>
      <c r="R271" s="55"/>
      <c r="S271" s="55"/>
      <c r="T271" s="55"/>
      <c r="U271" s="55"/>
      <c r="V271" s="377"/>
      <c r="AT271" s="54"/>
    </row>
    <row r="272" spans="1:47" ht="24" customHeight="1" x14ac:dyDescent="0.15">
      <c r="A272" s="55"/>
      <c r="B272" s="1691"/>
      <c r="C272" s="1130" t="s">
        <v>1834</v>
      </c>
      <c r="D272" s="1130"/>
      <c r="E272" s="1130"/>
      <c r="F272" s="1130"/>
      <c r="G272" s="1130"/>
      <c r="H272" s="1130"/>
      <c r="I272" s="1130"/>
      <c r="J272" s="1130"/>
      <c r="K272" s="1130"/>
      <c r="L272" s="1130"/>
      <c r="M272" s="1130"/>
      <c r="N272" s="432"/>
      <c r="O272" s="55"/>
      <c r="P272" s="55"/>
      <c r="Q272" s="55"/>
      <c r="R272" s="55"/>
      <c r="S272" s="55"/>
      <c r="T272" s="55"/>
      <c r="U272" s="55"/>
      <c r="V272" s="377"/>
      <c r="AT272" s="54"/>
    </row>
    <row r="273" spans="1:46" ht="24" customHeight="1" x14ac:dyDescent="0.15">
      <c r="A273" s="55"/>
      <c r="B273" s="1691"/>
      <c r="C273" s="860" t="s">
        <v>1835</v>
      </c>
      <c r="D273" s="1011"/>
      <c r="E273" s="1011"/>
      <c r="F273" s="861"/>
      <c r="G273" s="1177"/>
      <c r="H273" s="1184"/>
      <c r="I273" s="1184"/>
      <c r="J273" s="1184"/>
      <c r="K273" s="1184"/>
      <c r="L273" s="1184"/>
      <c r="M273" s="1184"/>
      <c r="N273" s="1178"/>
      <c r="O273" s="55"/>
      <c r="P273" s="55"/>
      <c r="Q273" s="55"/>
      <c r="R273" s="55"/>
      <c r="S273" s="55"/>
      <c r="T273" s="55"/>
      <c r="U273" s="55"/>
      <c r="V273" s="377"/>
      <c r="AT273" s="54"/>
    </row>
    <row r="274" spans="1:46" ht="24.95" hidden="1" customHeight="1" x14ac:dyDescent="0.15">
      <c r="A274" s="55"/>
      <c r="B274" s="473"/>
      <c r="C274" s="473"/>
      <c r="D274" s="1130"/>
      <c r="E274" s="1130"/>
      <c r="F274" s="1130"/>
      <c r="G274" s="1130"/>
      <c r="H274" s="1130"/>
      <c r="I274" s="1130"/>
      <c r="J274" s="1130"/>
      <c r="K274" s="1130"/>
      <c r="L274" s="1130"/>
      <c r="M274" s="1130"/>
      <c r="N274" s="1130"/>
      <c r="O274" s="422"/>
      <c r="P274" s="55"/>
      <c r="Q274" s="55"/>
      <c r="R274" s="55"/>
      <c r="S274" s="55"/>
      <c r="T274" s="55"/>
      <c r="U274" s="55"/>
      <c r="V274" s="55"/>
    </row>
    <row r="275" spans="1:46" ht="24.95" hidden="1" customHeight="1" x14ac:dyDescent="0.15">
      <c r="A275" s="55"/>
      <c r="B275" s="473"/>
      <c r="C275" s="473"/>
      <c r="D275" s="1130"/>
      <c r="E275" s="1130"/>
      <c r="F275" s="1130"/>
      <c r="G275" s="1130"/>
      <c r="H275" s="1130"/>
      <c r="I275" s="1130"/>
      <c r="J275" s="1130"/>
      <c r="K275" s="1130"/>
      <c r="L275" s="1130"/>
      <c r="M275" s="1130"/>
      <c r="N275" s="1130"/>
      <c r="O275" s="422"/>
      <c r="P275" s="55"/>
      <c r="Q275" s="55"/>
      <c r="R275" s="55"/>
      <c r="S275" s="55"/>
      <c r="T275" s="55"/>
      <c r="U275" s="55"/>
      <c r="V275" s="55"/>
    </row>
    <row r="276" spans="1:46" ht="13.35" customHeight="1" x14ac:dyDescent="0.15">
      <c r="A276" s="36"/>
      <c r="B276" s="473"/>
      <c r="C276" s="473"/>
      <c r="D276" s="1282"/>
      <c r="E276" s="1282"/>
      <c r="F276" s="1282"/>
      <c r="G276" s="1282"/>
      <c r="H276" s="1282"/>
      <c r="I276" s="1282"/>
      <c r="J276" s="1282"/>
      <c r="K276" s="1282"/>
      <c r="L276" s="1282"/>
      <c r="M276" s="1282"/>
      <c r="N276" s="1282"/>
      <c r="O276" s="38"/>
      <c r="P276" s="36"/>
      <c r="Q276" s="36"/>
      <c r="R276" s="36"/>
      <c r="S276" s="36"/>
      <c r="T276" s="36"/>
      <c r="U276" s="36"/>
      <c r="V276" s="36"/>
    </row>
    <row r="277" spans="1:46" ht="13.35" customHeight="1" x14ac:dyDescent="0.15">
      <c r="B277" s="55"/>
      <c r="C277" s="55"/>
      <c r="O277" s="55"/>
      <c r="P277" s="55"/>
      <c r="Q277" s="55"/>
      <c r="R277" s="55"/>
      <c r="S277" s="55"/>
      <c r="T277" s="55"/>
    </row>
    <row r="278" spans="1:46" ht="27" customHeight="1" x14ac:dyDescent="0.15">
      <c r="A278" s="840" t="s">
        <v>1767</v>
      </c>
      <c r="B278" s="840"/>
      <c r="C278" s="840"/>
      <c r="D278" s="840"/>
      <c r="E278" s="840"/>
      <c r="F278" s="840"/>
      <c r="G278" s="840"/>
      <c r="H278" s="71"/>
      <c r="O278" s="55"/>
      <c r="P278" s="55"/>
      <c r="Q278" s="55"/>
      <c r="R278" s="55"/>
    </row>
    <row r="279" spans="1:46" x14ac:dyDescent="0.15">
      <c r="A279" s="71" t="s">
        <v>72</v>
      </c>
      <c r="B279" s="55" t="s">
        <v>224</v>
      </c>
      <c r="C279" s="55"/>
      <c r="O279" s="55"/>
      <c r="P279" s="55"/>
      <c r="Q279" s="55"/>
      <c r="R279" s="55"/>
      <c r="S279" s="55"/>
    </row>
    <row r="280" spans="1:46" ht="13.5" customHeight="1" x14ac:dyDescent="0.15">
      <c r="A280" s="71" t="s">
        <v>72</v>
      </c>
      <c r="B280" s="1071" t="s">
        <v>1765</v>
      </c>
      <c r="C280" s="1071"/>
      <c r="D280" s="1071"/>
      <c r="E280" s="1071"/>
      <c r="F280" s="1071"/>
      <c r="G280" s="1071"/>
      <c r="H280" s="1071"/>
      <c r="I280" s="1071"/>
      <c r="J280" s="1071"/>
      <c r="K280" s="1071"/>
      <c r="L280" s="1071"/>
      <c r="M280" s="1071"/>
      <c r="N280" s="1071"/>
      <c r="O280" s="1071"/>
      <c r="P280" s="1071"/>
      <c r="Q280" s="1071"/>
      <c r="R280" s="1071"/>
      <c r="S280" s="1071"/>
      <c r="T280" s="1071"/>
      <c r="U280" s="1071"/>
    </row>
    <row r="281" spans="1:46" ht="13.5" customHeight="1" x14ac:dyDescent="0.15">
      <c r="A281" s="71"/>
      <c r="B281" s="1071"/>
      <c r="C281" s="1071"/>
      <c r="D281" s="1071"/>
      <c r="E281" s="1071"/>
      <c r="F281" s="1071"/>
      <c r="G281" s="1071"/>
      <c r="H281" s="1071"/>
      <c r="I281" s="1071"/>
      <c r="J281" s="1071"/>
      <c r="K281" s="1071"/>
      <c r="L281" s="1071"/>
      <c r="M281" s="1071"/>
      <c r="N281" s="1071"/>
      <c r="O281" s="1071"/>
      <c r="P281" s="1071"/>
      <c r="Q281" s="1071"/>
      <c r="R281" s="1071"/>
      <c r="S281" s="1071"/>
      <c r="T281" s="1071"/>
      <c r="U281" s="1071"/>
    </row>
    <row r="282" spans="1:46" ht="13.5" customHeight="1" x14ac:dyDescent="0.15">
      <c r="A282" s="71"/>
      <c r="B282" s="1071"/>
      <c r="C282" s="1071"/>
      <c r="D282" s="1071"/>
      <c r="E282" s="1071"/>
      <c r="F282" s="1071"/>
      <c r="G282" s="1071"/>
      <c r="H282" s="1071"/>
      <c r="I282" s="1071"/>
      <c r="J282" s="1071"/>
      <c r="K282" s="1071"/>
      <c r="L282" s="1071"/>
      <c r="M282" s="1071"/>
      <c r="N282" s="1071"/>
      <c r="O282" s="1071"/>
      <c r="P282" s="1071"/>
      <c r="Q282" s="1071"/>
      <c r="R282" s="1071"/>
      <c r="S282" s="1071"/>
      <c r="T282" s="1071"/>
      <c r="U282" s="1071"/>
    </row>
    <row r="283" spans="1:46" ht="13.5" customHeight="1" x14ac:dyDescent="0.15">
      <c r="A283" s="71"/>
      <c r="B283" s="1071"/>
      <c r="C283" s="1071"/>
      <c r="D283" s="1071"/>
      <c r="E283" s="1071"/>
      <c r="F283" s="1071"/>
      <c r="G283" s="1071"/>
      <c r="H283" s="1071"/>
      <c r="I283" s="1071"/>
      <c r="J283" s="1071"/>
      <c r="K283" s="1071"/>
      <c r="L283" s="1071"/>
      <c r="M283" s="1071"/>
      <c r="N283" s="1071"/>
      <c r="O283" s="1071"/>
      <c r="P283" s="1071"/>
      <c r="Q283" s="1071"/>
      <c r="R283" s="1071"/>
      <c r="S283" s="1071"/>
      <c r="T283" s="1071"/>
      <c r="U283" s="1071"/>
    </row>
    <row r="284" spans="1:46" ht="13.5" customHeight="1" x14ac:dyDescent="0.15">
      <c r="A284" s="71"/>
      <c r="B284" s="763" t="s">
        <v>1766</v>
      </c>
      <c r="C284" s="763"/>
      <c r="D284" s="763"/>
      <c r="E284" s="763"/>
      <c r="F284" s="763"/>
      <c r="G284" s="763"/>
      <c r="H284" s="763"/>
      <c r="I284" s="763"/>
      <c r="J284" s="763"/>
      <c r="K284" s="763"/>
      <c r="L284" s="763"/>
      <c r="M284" s="763"/>
      <c r="N284" s="763"/>
      <c r="O284" s="763"/>
      <c r="P284" s="763"/>
      <c r="Q284" s="763"/>
      <c r="R284" s="763"/>
      <c r="S284" s="763"/>
      <c r="T284" s="763"/>
      <c r="U284" s="763"/>
    </row>
    <row r="285" spans="1:46" x14ac:dyDescent="0.15">
      <c r="A285" s="71" t="s">
        <v>235</v>
      </c>
      <c r="B285" s="763" t="s">
        <v>1768</v>
      </c>
      <c r="C285" s="763"/>
      <c r="D285" s="763"/>
      <c r="E285" s="763"/>
      <c r="F285" s="763"/>
      <c r="G285" s="763"/>
      <c r="H285" s="763"/>
      <c r="I285" s="763"/>
      <c r="J285" s="763"/>
      <c r="K285" s="763"/>
      <c r="L285" s="763"/>
      <c r="M285" s="763"/>
      <c r="N285" s="763"/>
      <c r="O285" s="763"/>
      <c r="P285" s="763"/>
      <c r="Q285" s="763"/>
      <c r="R285" s="763"/>
      <c r="S285" s="763"/>
      <c r="T285" s="763"/>
      <c r="U285" s="763"/>
    </row>
    <row r="286" spans="1:46" x14ac:dyDescent="0.15">
      <c r="A286" s="71"/>
      <c r="B286" s="763"/>
      <c r="C286" s="763"/>
      <c r="D286" s="763"/>
      <c r="E286" s="763"/>
      <c r="F286" s="763"/>
      <c r="G286" s="763"/>
      <c r="H286" s="763"/>
      <c r="I286" s="763"/>
      <c r="J286" s="763"/>
      <c r="K286" s="763"/>
      <c r="L286" s="763"/>
      <c r="M286" s="763"/>
      <c r="N286" s="763"/>
      <c r="O286" s="763"/>
      <c r="P286" s="763"/>
      <c r="Q286" s="763"/>
      <c r="R286" s="763"/>
      <c r="S286" s="763"/>
      <c r="T286" s="763"/>
      <c r="U286" s="763"/>
    </row>
    <row r="287" spans="1:46" x14ac:dyDescent="0.15">
      <c r="A287" s="71" t="s">
        <v>72</v>
      </c>
      <c r="B287" s="55" t="s">
        <v>481</v>
      </c>
      <c r="C287" s="55"/>
      <c r="O287" s="55"/>
      <c r="P287" s="55"/>
      <c r="Q287" s="55"/>
      <c r="R287" s="55"/>
      <c r="S287" s="55"/>
    </row>
    <row r="288" spans="1:46" ht="14.25" thickBot="1" x14ac:dyDescent="0.2">
      <c r="D288" s="54"/>
      <c r="E288" s="54"/>
      <c r="O288" s="55"/>
      <c r="P288" s="55"/>
      <c r="Q288" s="65"/>
      <c r="R288" s="65"/>
      <c r="S288" s="65"/>
      <c r="T288" s="65"/>
      <c r="U288" s="65"/>
      <c r="Z288" s="379"/>
    </row>
    <row r="289" spans="1:24" ht="27" customHeight="1" x14ac:dyDescent="0.15">
      <c r="A289" s="1350" t="s">
        <v>183</v>
      </c>
      <c r="B289" s="1351"/>
      <c r="C289" s="1351"/>
      <c r="D289" s="1351"/>
      <c r="E289" s="1351"/>
      <c r="F289" s="1351"/>
      <c r="G289" s="1276" t="s">
        <v>5</v>
      </c>
      <c r="H289" s="1276"/>
      <c r="I289" s="1276"/>
      <c r="J289" s="1276"/>
      <c r="K289" s="1276"/>
      <c r="L289" s="1276"/>
      <c r="M289" s="1276"/>
      <c r="N289" s="1277"/>
      <c r="P289" s="1258" t="s">
        <v>1312</v>
      </c>
      <c r="Q289" s="1259"/>
      <c r="R289" s="1259"/>
      <c r="S289" s="1260"/>
      <c r="U289" s="1415" t="s">
        <v>474</v>
      </c>
      <c r="V289" s="1416"/>
      <c r="W289" s="383"/>
    </row>
    <row r="290" spans="1:24" ht="27" customHeight="1" x14ac:dyDescent="0.15">
      <c r="A290" s="1287"/>
      <c r="B290" s="1288"/>
      <c r="C290" s="1288"/>
      <c r="D290" s="1288"/>
      <c r="E290" s="1288"/>
      <c r="F290" s="1288"/>
      <c r="G290" s="833" t="s">
        <v>213</v>
      </c>
      <c r="H290" s="833"/>
      <c r="I290" s="833" t="s">
        <v>214</v>
      </c>
      <c r="J290" s="833"/>
      <c r="K290" s="833"/>
      <c r="L290" s="833"/>
      <c r="M290" s="1375" t="s">
        <v>471</v>
      </c>
      <c r="N290" s="1376"/>
      <c r="P290" s="1261"/>
      <c r="Q290" s="802"/>
      <c r="R290" s="802"/>
      <c r="S290" s="1262"/>
      <c r="U290" s="1417"/>
      <c r="V290" s="1418"/>
      <c r="W290" s="383"/>
    </row>
    <row r="291" spans="1:24" ht="27" customHeight="1" x14ac:dyDescent="0.15">
      <c r="A291" s="1421" t="s">
        <v>184</v>
      </c>
      <c r="B291" s="1115"/>
      <c r="C291" s="1115"/>
      <c r="D291" s="1115"/>
      <c r="E291" s="1115"/>
      <c r="F291" s="1115"/>
      <c r="G291" s="833" t="s">
        <v>468</v>
      </c>
      <c r="H291" s="833"/>
      <c r="I291" s="833" t="s">
        <v>469</v>
      </c>
      <c r="J291" s="833"/>
      <c r="K291" s="1414" t="s">
        <v>470</v>
      </c>
      <c r="L291" s="1414"/>
      <c r="M291" s="833"/>
      <c r="N291" s="1376"/>
      <c r="P291" s="1278" t="s">
        <v>472</v>
      </c>
      <c r="Q291" s="1279"/>
      <c r="R291" s="1265" t="s">
        <v>473</v>
      </c>
      <c r="S291" s="1266"/>
      <c r="U291" s="1419"/>
      <c r="V291" s="1420"/>
      <c r="W291" s="383"/>
    </row>
    <row r="292" spans="1:24" ht="27" customHeight="1" x14ac:dyDescent="0.15">
      <c r="A292" s="773" t="s">
        <v>475</v>
      </c>
      <c r="B292" s="774"/>
      <c r="C292" s="774"/>
      <c r="D292" s="774"/>
      <c r="E292" s="774"/>
      <c r="F292" s="774"/>
      <c r="G292" s="768"/>
      <c r="H292" s="768"/>
      <c r="I292" s="768"/>
      <c r="J292" s="768"/>
      <c r="K292" s="768"/>
      <c r="L292" s="768"/>
      <c r="M292" s="1322">
        <f>SUM(G292,K292)</f>
        <v>0</v>
      </c>
      <c r="N292" s="1323"/>
      <c r="O292" s="75" t="s">
        <v>1313</v>
      </c>
      <c r="P292" s="1271"/>
      <c r="Q292" s="1272"/>
      <c r="R292" s="1267"/>
      <c r="S292" s="1268"/>
      <c r="T292" s="75" t="s">
        <v>1315</v>
      </c>
      <c r="U292" s="1273">
        <f t="shared" ref="U292:U298" si="1">SUM(M292,R292)</f>
        <v>0</v>
      </c>
      <c r="V292" s="1274"/>
      <c r="W292" s="384"/>
    </row>
    <row r="293" spans="1:24" ht="27" customHeight="1" x14ac:dyDescent="0.15">
      <c r="A293" s="1703" t="s">
        <v>476</v>
      </c>
      <c r="B293" s="1704"/>
      <c r="C293" s="1704"/>
      <c r="D293" s="1704"/>
      <c r="E293" s="1704"/>
      <c r="F293" s="1704"/>
      <c r="G293" s="768"/>
      <c r="H293" s="768"/>
      <c r="I293" s="768"/>
      <c r="J293" s="768"/>
      <c r="K293" s="768"/>
      <c r="L293" s="768"/>
      <c r="M293" s="1253">
        <f t="shared" ref="M293:M297" si="2">SUM(G293,K293)</f>
        <v>0</v>
      </c>
      <c r="N293" s="1254"/>
      <c r="O293" s="75" t="s">
        <v>1313</v>
      </c>
      <c r="P293" s="1271"/>
      <c r="Q293" s="1272"/>
      <c r="R293" s="1267"/>
      <c r="S293" s="1268"/>
      <c r="T293" s="75" t="s">
        <v>1315</v>
      </c>
      <c r="U293" s="1273">
        <f t="shared" si="1"/>
        <v>0</v>
      </c>
      <c r="V293" s="1274"/>
      <c r="W293" s="385"/>
    </row>
    <row r="294" spans="1:24" ht="27" customHeight="1" x14ac:dyDescent="0.15">
      <c r="A294" s="773" t="s">
        <v>477</v>
      </c>
      <c r="B294" s="774"/>
      <c r="C294" s="774"/>
      <c r="D294" s="774"/>
      <c r="E294" s="774"/>
      <c r="F294" s="774"/>
      <c r="G294" s="768"/>
      <c r="H294" s="768"/>
      <c r="I294" s="768"/>
      <c r="J294" s="768"/>
      <c r="K294" s="768"/>
      <c r="L294" s="768"/>
      <c r="M294" s="1253">
        <f t="shared" si="2"/>
        <v>0</v>
      </c>
      <c r="N294" s="1254"/>
      <c r="O294" s="75" t="s">
        <v>1314</v>
      </c>
      <c r="P294" s="1271"/>
      <c r="Q294" s="1272"/>
      <c r="R294" s="1267"/>
      <c r="S294" s="1268"/>
      <c r="T294" s="75" t="s">
        <v>1315</v>
      </c>
      <c r="U294" s="1273">
        <f t="shared" si="1"/>
        <v>0</v>
      </c>
      <c r="V294" s="1274"/>
      <c r="W294" s="384"/>
    </row>
    <row r="295" spans="1:24" ht="27" customHeight="1" x14ac:dyDescent="0.15">
      <c r="A295" s="1709" t="s">
        <v>478</v>
      </c>
      <c r="B295" s="1710"/>
      <c r="C295" s="1710"/>
      <c r="D295" s="1710"/>
      <c r="E295" s="1710"/>
      <c r="F295" s="1710"/>
      <c r="G295" s="768"/>
      <c r="H295" s="768"/>
      <c r="I295" s="768"/>
      <c r="J295" s="768"/>
      <c r="K295" s="768"/>
      <c r="L295" s="768"/>
      <c r="M295" s="1253">
        <f t="shared" si="2"/>
        <v>0</v>
      </c>
      <c r="N295" s="1254"/>
      <c r="O295" s="75" t="s">
        <v>1313</v>
      </c>
      <c r="P295" s="1271"/>
      <c r="Q295" s="1272"/>
      <c r="R295" s="1267"/>
      <c r="S295" s="1268"/>
      <c r="T295" s="75" t="s">
        <v>1316</v>
      </c>
      <c r="U295" s="1273">
        <f t="shared" si="1"/>
        <v>0</v>
      </c>
      <c r="V295" s="1274"/>
      <c r="W295" s="384"/>
    </row>
    <row r="296" spans="1:24" ht="27" customHeight="1" x14ac:dyDescent="0.15">
      <c r="A296" s="773" t="s">
        <v>479</v>
      </c>
      <c r="B296" s="774"/>
      <c r="C296" s="774"/>
      <c r="D296" s="774"/>
      <c r="E296" s="774"/>
      <c r="F296" s="774"/>
      <c r="G296" s="768"/>
      <c r="H296" s="768"/>
      <c r="I296" s="768"/>
      <c r="J296" s="768"/>
      <c r="K296" s="768"/>
      <c r="L296" s="768"/>
      <c r="M296" s="1253">
        <f t="shared" si="2"/>
        <v>0</v>
      </c>
      <c r="N296" s="1254"/>
      <c r="O296" s="75" t="s">
        <v>1313</v>
      </c>
      <c r="P296" s="1271"/>
      <c r="Q296" s="1272"/>
      <c r="R296" s="1267"/>
      <c r="S296" s="1268"/>
      <c r="T296" s="75" t="s">
        <v>1316</v>
      </c>
      <c r="U296" s="1273">
        <f t="shared" si="1"/>
        <v>0</v>
      </c>
      <c r="V296" s="1274"/>
      <c r="W296" s="385"/>
    </row>
    <row r="297" spans="1:24" ht="27" customHeight="1" thickBot="1" x14ac:dyDescent="0.2">
      <c r="A297" s="1263" t="s">
        <v>480</v>
      </c>
      <c r="B297" s="1264"/>
      <c r="C297" s="1264"/>
      <c r="D297" s="1264"/>
      <c r="E297" s="1264"/>
      <c r="F297" s="1264"/>
      <c r="G297" s="1252"/>
      <c r="H297" s="1252"/>
      <c r="I297" s="1252"/>
      <c r="J297" s="1252"/>
      <c r="K297" s="1252"/>
      <c r="L297" s="1252"/>
      <c r="M297" s="1361">
        <f t="shared" si="2"/>
        <v>0</v>
      </c>
      <c r="N297" s="1362"/>
      <c r="O297" s="75" t="s">
        <v>1313</v>
      </c>
      <c r="P297" s="1269"/>
      <c r="Q297" s="1270"/>
      <c r="R297" s="1389"/>
      <c r="S297" s="1390"/>
      <c r="T297" s="75" t="s">
        <v>1316</v>
      </c>
      <c r="U297" s="1292">
        <f t="shared" si="1"/>
        <v>0</v>
      </c>
      <c r="V297" s="1293"/>
      <c r="W297" s="385"/>
    </row>
    <row r="298" spans="1:24" ht="39.950000000000003" customHeight="1" thickTop="1" thickBot="1" x14ac:dyDescent="0.2">
      <c r="A298" s="1529" t="s">
        <v>197</v>
      </c>
      <c r="B298" s="1530"/>
      <c r="C298" s="1530"/>
      <c r="D298" s="1530"/>
      <c r="E298" s="1530"/>
      <c r="F298" s="1530"/>
      <c r="G298" s="734" t="str">
        <f>IF(G$292+G$294+G$295+G$297+G$296=0,"",G$292+G$294+G$295+G$297+G$296)</f>
        <v/>
      </c>
      <c r="H298" s="734"/>
      <c r="I298" s="734" t="str">
        <f>IF(I$292+I$294+I$295+I$297+I$296=0,"",I$292+I$294+I$295+I$297+I$296)</f>
        <v/>
      </c>
      <c r="J298" s="734"/>
      <c r="K298" s="734" t="str">
        <f>IF(K$292+K$294+K$295+K$297+K$296=0,"",K$292+K$294+K$295+K$297+K$296)</f>
        <v/>
      </c>
      <c r="L298" s="734"/>
      <c r="M298" s="1391">
        <f>SUM(G298,K298)</f>
        <v>0</v>
      </c>
      <c r="N298" s="1392"/>
      <c r="O298" s="75" t="s">
        <v>1313</v>
      </c>
      <c r="P298" s="1393" t="str">
        <f>IF(P$292+P$294+P$295+P$297+P$296=0,"",P$292+P$294+P$295+P$297+P$296)</f>
        <v/>
      </c>
      <c r="Q298" s="1394"/>
      <c r="R298" s="1391" t="str">
        <f>IF(R$292+R$294+R$295+R$297+R$296=0,"",R$292+R$294+R$295+R$297+R$296)</f>
        <v/>
      </c>
      <c r="S298" s="1392"/>
      <c r="T298" s="75" t="s">
        <v>1315</v>
      </c>
      <c r="U298" s="1290">
        <f t="shared" si="1"/>
        <v>0</v>
      </c>
      <c r="V298" s="1291"/>
      <c r="W298" s="386"/>
      <c r="X298" s="378"/>
    </row>
    <row r="299" spans="1:24" ht="13.5" customHeight="1" x14ac:dyDescent="0.15">
      <c r="B299" s="79" t="s">
        <v>198</v>
      </c>
      <c r="C299" s="749" t="s">
        <v>176</v>
      </c>
      <c r="D299" s="749"/>
      <c r="E299" s="749"/>
      <c r="F299" s="749"/>
      <c r="G299" s="749"/>
      <c r="H299" s="749"/>
      <c r="I299" s="749"/>
      <c r="J299" s="749"/>
      <c r="K299" s="749"/>
      <c r="L299" s="749"/>
      <c r="M299" s="749"/>
      <c r="N299" s="749"/>
      <c r="O299" s="749"/>
      <c r="P299" s="749"/>
      <c r="Q299" s="749"/>
      <c r="R299" s="749"/>
      <c r="S299" s="749"/>
      <c r="T299" s="749"/>
      <c r="U299" s="749"/>
      <c r="V299" s="472"/>
    </row>
    <row r="300" spans="1:24" ht="13.5" customHeight="1" x14ac:dyDescent="0.15">
      <c r="B300" s="79"/>
      <c r="C300" s="749"/>
      <c r="D300" s="749"/>
      <c r="E300" s="749"/>
      <c r="F300" s="749"/>
      <c r="G300" s="749"/>
      <c r="H300" s="749"/>
      <c r="I300" s="749"/>
      <c r="J300" s="749"/>
      <c r="K300" s="749"/>
      <c r="L300" s="749"/>
      <c r="M300" s="749"/>
      <c r="N300" s="749"/>
      <c r="O300" s="749"/>
      <c r="P300" s="749"/>
      <c r="Q300" s="749"/>
      <c r="R300" s="749"/>
      <c r="S300" s="749"/>
      <c r="T300" s="749"/>
      <c r="U300" s="749"/>
      <c r="V300" s="472"/>
    </row>
    <row r="301" spans="1:24" ht="13.5" customHeight="1" x14ac:dyDescent="0.15">
      <c r="B301" s="79" t="s">
        <v>199</v>
      </c>
      <c r="C301" s="749" t="s">
        <v>1277</v>
      </c>
      <c r="D301" s="749"/>
      <c r="E301" s="749"/>
      <c r="F301" s="749"/>
      <c r="G301" s="749"/>
      <c r="H301" s="749"/>
      <c r="I301" s="749"/>
      <c r="J301" s="749"/>
      <c r="K301" s="749"/>
      <c r="L301" s="749"/>
      <c r="M301" s="749"/>
      <c r="N301" s="749"/>
      <c r="O301" s="749"/>
      <c r="P301" s="749"/>
      <c r="Q301" s="749"/>
      <c r="R301" s="749"/>
      <c r="S301" s="749"/>
      <c r="T301" s="749"/>
      <c r="U301" s="749"/>
      <c r="V301" s="472"/>
    </row>
    <row r="302" spans="1:24" ht="13.5" customHeight="1" x14ac:dyDescent="0.15">
      <c r="B302" s="79"/>
      <c r="C302" s="749"/>
      <c r="D302" s="749"/>
      <c r="E302" s="749"/>
      <c r="F302" s="749"/>
      <c r="G302" s="749"/>
      <c r="H302" s="749"/>
      <c r="I302" s="749"/>
      <c r="J302" s="749"/>
      <c r="K302" s="749"/>
      <c r="L302" s="749"/>
      <c r="M302" s="749"/>
      <c r="N302" s="749"/>
      <c r="O302" s="749"/>
      <c r="P302" s="749"/>
      <c r="Q302" s="749"/>
      <c r="R302" s="749"/>
      <c r="S302" s="749"/>
      <c r="T302" s="749"/>
      <c r="U302" s="749"/>
      <c r="V302" s="472"/>
    </row>
    <row r="303" spans="1:24" ht="13.5" customHeight="1" x14ac:dyDescent="0.15">
      <c r="B303" s="79"/>
      <c r="C303" s="749"/>
      <c r="D303" s="749"/>
      <c r="E303" s="749"/>
      <c r="F303" s="749"/>
      <c r="G303" s="749"/>
      <c r="H303" s="749"/>
      <c r="I303" s="749"/>
      <c r="J303" s="749"/>
      <c r="K303" s="749"/>
      <c r="L303" s="749"/>
      <c r="M303" s="749"/>
      <c r="N303" s="749"/>
      <c r="O303" s="749"/>
      <c r="P303" s="749"/>
      <c r="Q303" s="749"/>
      <c r="R303" s="749"/>
      <c r="S303" s="749"/>
      <c r="T303" s="749"/>
      <c r="U303" s="749"/>
      <c r="V303" s="472"/>
    </row>
    <row r="304" spans="1:24" ht="13.5" customHeight="1" x14ac:dyDescent="0.15">
      <c r="B304" s="79" t="s">
        <v>74</v>
      </c>
      <c r="C304" s="1289" t="s">
        <v>1499</v>
      </c>
      <c r="D304" s="1289"/>
      <c r="E304" s="1289"/>
      <c r="F304" s="1289"/>
      <c r="G304" s="1289"/>
      <c r="H304" s="1289"/>
      <c r="I304" s="1289"/>
      <c r="J304" s="1289"/>
      <c r="K304" s="1289"/>
      <c r="L304" s="1289"/>
      <c r="M304" s="1289"/>
      <c r="N304" s="1289"/>
      <c r="O304" s="1289"/>
      <c r="P304" s="1289"/>
      <c r="Q304" s="1289"/>
      <c r="R304" s="1289"/>
      <c r="S304" s="1289"/>
      <c r="T304" s="1289"/>
    </row>
    <row r="305" spans="1:24" ht="13.35" customHeight="1" x14ac:dyDescent="0.15">
      <c r="A305" s="57"/>
      <c r="B305" s="455"/>
      <c r="C305" s="447"/>
      <c r="D305" s="447"/>
      <c r="E305" s="447"/>
      <c r="F305" s="447"/>
      <c r="G305" s="447"/>
      <c r="H305" s="80"/>
      <c r="I305" s="80"/>
      <c r="J305" s="81"/>
      <c r="K305" s="81"/>
      <c r="M305" s="81"/>
      <c r="N305" s="453"/>
      <c r="O305" s="453"/>
      <c r="P305" s="453"/>
      <c r="Q305" s="453"/>
      <c r="R305" s="453"/>
      <c r="S305" s="453"/>
    </row>
    <row r="306" spans="1:24" ht="27" customHeight="1" x14ac:dyDescent="0.15">
      <c r="A306" s="735" t="s">
        <v>1769</v>
      </c>
      <c r="B306" s="736"/>
      <c r="C306" s="736"/>
      <c r="D306" s="737"/>
      <c r="E306" s="1281" t="s">
        <v>245</v>
      </c>
      <c r="F306" s="1282"/>
      <c r="G306" s="1282"/>
      <c r="H306" s="1282"/>
      <c r="I306" s="1282"/>
      <c r="J306" s="1282"/>
      <c r="K306" s="1282"/>
      <c r="L306" s="1282"/>
      <c r="M306" s="1282"/>
      <c r="N306" s="1282"/>
      <c r="O306" s="1282"/>
      <c r="P306" s="1282"/>
      <c r="Q306" s="1282"/>
      <c r="R306" s="1282"/>
      <c r="S306" s="1282"/>
      <c r="T306" s="1282"/>
      <c r="U306" s="1282"/>
    </row>
    <row r="307" spans="1:24" x14ac:dyDescent="0.15">
      <c r="A307" s="71" t="s">
        <v>72</v>
      </c>
      <c r="B307" s="55" t="s">
        <v>225</v>
      </c>
      <c r="C307" s="55"/>
      <c r="O307" s="55"/>
      <c r="P307" s="55"/>
      <c r="Q307" s="55"/>
      <c r="R307" s="55"/>
      <c r="S307" s="55"/>
    </row>
    <row r="308" spans="1:24" ht="13.5" customHeight="1" x14ac:dyDescent="0.15">
      <c r="A308" s="430" t="s">
        <v>72</v>
      </c>
      <c r="B308" s="1071" t="s">
        <v>76</v>
      </c>
      <c r="C308" s="1071"/>
      <c r="D308" s="1071"/>
      <c r="E308" s="1071"/>
      <c r="F308" s="1071"/>
      <c r="G308" s="1071"/>
      <c r="H308" s="1071"/>
      <c r="I308" s="1071"/>
      <c r="J308" s="1071"/>
      <c r="K308" s="1071"/>
      <c r="L308" s="1071"/>
      <c r="M308" s="1071"/>
      <c r="N308" s="1071"/>
      <c r="O308" s="1071"/>
      <c r="P308" s="1071"/>
      <c r="Q308" s="1071"/>
      <c r="R308" s="1071"/>
      <c r="S308" s="1071"/>
      <c r="T308" s="1071"/>
      <c r="U308" s="1071"/>
    </row>
    <row r="309" spans="1:24" ht="13.5" customHeight="1" x14ac:dyDescent="0.15">
      <c r="A309" s="430"/>
      <c r="B309" s="1071"/>
      <c r="C309" s="1071"/>
      <c r="D309" s="1071"/>
      <c r="E309" s="1071"/>
      <c r="F309" s="1071"/>
      <c r="G309" s="1071"/>
      <c r="H309" s="1071"/>
      <c r="I309" s="1071"/>
      <c r="J309" s="1071"/>
      <c r="K309" s="1071"/>
      <c r="L309" s="1071"/>
      <c r="M309" s="1071"/>
      <c r="N309" s="1071"/>
      <c r="O309" s="1071"/>
      <c r="P309" s="1071"/>
      <c r="Q309" s="1071"/>
      <c r="R309" s="1071"/>
      <c r="S309" s="1071"/>
      <c r="T309" s="1071"/>
      <c r="U309" s="1071"/>
    </row>
    <row r="310" spans="1:24" ht="13.5" customHeight="1" thickBot="1" x14ac:dyDescent="0.2">
      <c r="A310" s="430"/>
      <c r="B310" s="428"/>
      <c r="C310" s="428"/>
      <c r="D310" s="428"/>
      <c r="E310" s="428"/>
      <c r="F310" s="428"/>
      <c r="G310" s="428"/>
      <c r="H310" s="428"/>
      <c r="I310" s="428"/>
      <c r="J310" s="428"/>
      <c r="K310" s="428"/>
      <c r="L310" s="428"/>
      <c r="M310" s="428"/>
      <c r="N310" s="428"/>
      <c r="O310" s="428"/>
      <c r="P310" s="428"/>
      <c r="Q310" s="428"/>
      <c r="R310" s="428"/>
      <c r="S310" s="428"/>
    </row>
    <row r="311" spans="1:24" ht="27" customHeight="1" x14ac:dyDescent="0.15">
      <c r="A311" s="55"/>
      <c r="B311" s="1443" t="s">
        <v>638</v>
      </c>
      <c r="C311" s="1444"/>
      <c r="D311" s="1444"/>
      <c r="E311" s="1444"/>
      <c r="F311" s="1445"/>
      <c r="G311" s="708" t="str">
        <f>IF($G$312+$G$313+$G$314=0,"",G312+G313+G314)</f>
        <v/>
      </c>
      <c r="H311" s="708"/>
      <c r="I311" s="708"/>
      <c r="J311" s="708"/>
      <c r="K311" s="708"/>
      <c r="L311" s="708"/>
      <c r="M311" s="459" t="s">
        <v>4</v>
      </c>
      <c r="N311" s="1387" t="s">
        <v>236</v>
      </c>
      <c r="O311" s="1388"/>
      <c r="P311" s="1388"/>
      <c r="Q311" s="1388"/>
      <c r="R311" s="738" t="s">
        <v>1770</v>
      </c>
      <c r="S311" s="739"/>
      <c r="T311" s="739"/>
      <c r="U311" s="740"/>
    </row>
    <row r="312" spans="1:24" ht="27" customHeight="1" x14ac:dyDescent="0.15">
      <c r="A312" s="55"/>
      <c r="B312" s="82"/>
      <c r="C312" s="1147" t="s">
        <v>200</v>
      </c>
      <c r="D312" s="1148"/>
      <c r="E312" s="1148"/>
      <c r="F312" s="1149"/>
      <c r="G312" s="1441"/>
      <c r="H312" s="1441"/>
      <c r="I312" s="1441"/>
      <c r="J312" s="1441"/>
      <c r="K312" s="1441"/>
      <c r="L312" s="1441"/>
      <c r="M312" s="83" t="s">
        <v>4</v>
      </c>
      <c r="N312" s="1396" t="str">
        <f>IF(G312=0,"",(G312/R292))</f>
        <v/>
      </c>
      <c r="O312" s="1397"/>
      <c r="P312" s="1397"/>
      <c r="Q312" s="206" t="s">
        <v>1276</v>
      </c>
      <c r="R312" s="741"/>
      <c r="S312" s="742"/>
      <c r="T312" s="742"/>
      <c r="U312" s="743"/>
    </row>
    <row r="313" spans="1:24" ht="27" customHeight="1" x14ac:dyDescent="0.15">
      <c r="A313" s="55"/>
      <c r="B313" s="82"/>
      <c r="C313" s="795" t="s">
        <v>201</v>
      </c>
      <c r="D313" s="796"/>
      <c r="E313" s="796"/>
      <c r="F313" s="797"/>
      <c r="G313" s="1702"/>
      <c r="H313" s="1702"/>
      <c r="I313" s="1702"/>
      <c r="J313" s="1702"/>
      <c r="K313" s="1702"/>
      <c r="L313" s="1702"/>
      <c r="M313" s="419" t="s">
        <v>4</v>
      </c>
      <c r="N313" s="1707" t="str">
        <f>IF(G313=0,"",(G313/R294))</f>
        <v/>
      </c>
      <c r="O313" s="1708"/>
      <c r="P313" s="1708"/>
      <c r="Q313" s="345" t="s">
        <v>1276</v>
      </c>
      <c r="R313" s="741"/>
      <c r="S313" s="742"/>
      <c r="T313" s="742"/>
      <c r="U313" s="743"/>
    </row>
    <row r="314" spans="1:24" ht="27" customHeight="1" x14ac:dyDescent="0.15">
      <c r="A314" s="55"/>
      <c r="B314" s="82"/>
      <c r="C314" s="1283" t="s">
        <v>639</v>
      </c>
      <c r="D314" s="1284"/>
      <c r="E314" s="1284"/>
      <c r="F314" s="1285"/>
      <c r="G314" s="1386"/>
      <c r="H314" s="1386"/>
      <c r="I314" s="1386"/>
      <c r="J314" s="1386"/>
      <c r="K314" s="1386"/>
      <c r="L314" s="1386"/>
      <c r="M314" s="129" t="s">
        <v>4</v>
      </c>
      <c r="N314" s="1705" t="str">
        <f>IF(G314=0,"",(G314/R297))</f>
        <v/>
      </c>
      <c r="O314" s="1706"/>
      <c r="P314" s="1706"/>
      <c r="Q314" s="346" t="s">
        <v>1276</v>
      </c>
      <c r="R314" s="741"/>
      <c r="S314" s="742"/>
      <c r="T314" s="742"/>
      <c r="U314" s="743"/>
    </row>
    <row r="315" spans="1:24" ht="27" customHeight="1" thickBot="1" x14ac:dyDescent="0.2">
      <c r="A315" s="55"/>
      <c r="B315" s="130"/>
      <c r="C315" s="758" t="s">
        <v>642</v>
      </c>
      <c r="D315" s="759"/>
      <c r="E315" s="759"/>
      <c r="F315" s="759"/>
      <c r="G315" s="757"/>
      <c r="H315" s="757"/>
      <c r="I315" s="757"/>
      <c r="J315" s="757"/>
      <c r="K315" s="757"/>
      <c r="L315" s="757"/>
      <c r="M315" s="757"/>
      <c r="N315" s="757"/>
      <c r="O315" s="757"/>
      <c r="P315" s="757"/>
      <c r="Q315" s="131" t="s">
        <v>641</v>
      </c>
      <c r="R315" s="741"/>
      <c r="S315" s="742"/>
      <c r="T315" s="742"/>
      <c r="U315" s="743"/>
    </row>
    <row r="316" spans="1:24" ht="27" customHeight="1" thickTop="1" thickBot="1" x14ac:dyDescent="0.2">
      <c r="A316" s="55"/>
      <c r="B316" s="1442" t="s">
        <v>185</v>
      </c>
      <c r="C316" s="1364"/>
      <c r="D316" s="1364"/>
      <c r="E316" s="1364"/>
      <c r="F316" s="1365"/>
      <c r="G316" s="1711"/>
      <c r="H316" s="1711"/>
      <c r="I316" s="1711"/>
      <c r="J316" s="1711"/>
      <c r="K316" s="1711"/>
      <c r="L316" s="1711"/>
      <c r="M316" s="84" t="s">
        <v>4</v>
      </c>
      <c r="N316" s="1400" t="str">
        <f>IF(G316=0,"",(G316/12/R296))</f>
        <v/>
      </c>
      <c r="O316" s="1401"/>
      <c r="P316" s="1401"/>
      <c r="Q316" s="347" t="s">
        <v>1275</v>
      </c>
      <c r="R316" s="744"/>
      <c r="S316" s="745"/>
      <c r="T316" s="745"/>
      <c r="U316" s="746"/>
    </row>
    <row r="317" spans="1:24" ht="13.5" customHeight="1" x14ac:dyDescent="0.15">
      <c r="B317" s="79" t="s">
        <v>640</v>
      </c>
      <c r="C317" s="749" t="s">
        <v>1277</v>
      </c>
      <c r="D317" s="749"/>
      <c r="E317" s="749"/>
      <c r="F317" s="749"/>
      <c r="G317" s="749"/>
      <c r="H317" s="749"/>
      <c r="I317" s="749"/>
      <c r="J317" s="749"/>
      <c r="K317" s="749"/>
      <c r="L317" s="749"/>
      <c r="M317" s="749"/>
      <c r="N317" s="749"/>
      <c r="O317" s="749"/>
      <c r="P317" s="749"/>
      <c r="Q317" s="749"/>
      <c r="R317" s="749"/>
      <c r="S317" s="749"/>
      <c r="T317" s="749"/>
      <c r="U317" s="749"/>
      <c r="V317" s="472"/>
    </row>
    <row r="318" spans="1:24" ht="13.5" customHeight="1" x14ac:dyDescent="0.15">
      <c r="B318" s="79"/>
      <c r="C318" s="749"/>
      <c r="D318" s="749"/>
      <c r="E318" s="749"/>
      <c r="F318" s="749"/>
      <c r="G318" s="749"/>
      <c r="H318" s="749"/>
      <c r="I318" s="749"/>
      <c r="J318" s="749"/>
      <c r="K318" s="749"/>
      <c r="L318" s="749"/>
      <c r="M318" s="749"/>
      <c r="N318" s="749"/>
      <c r="O318" s="749"/>
      <c r="P318" s="749"/>
      <c r="Q318" s="749"/>
      <c r="R318" s="749"/>
      <c r="S318" s="749"/>
      <c r="T318" s="749"/>
      <c r="U318" s="749"/>
      <c r="V318" s="472"/>
    </row>
    <row r="319" spans="1:24" ht="13.5" customHeight="1" x14ac:dyDescent="0.15">
      <c r="B319" s="79"/>
      <c r="C319" s="749"/>
      <c r="D319" s="749"/>
      <c r="E319" s="749"/>
      <c r="F319" s="749"/>
      <c r="G319" s="749"/>
      <c r="H319" s="749"/>
      <c r="I319" s="749"/>
      <c r="J319" s="749"/>
      <c r="K319" s="749"/>
      <c r="L319" s="749"/>
      <c r="M319" s="749"/>
      <c r="N319" s="749"/>
      <c r="O319" s="749"/>
      <c r="P319" s="749"/>
      <c r="Q319" s="749"/>
      <c r="R319" s="749"/>
      <c r="S319" s="749"/>
      <c r="T319" s="749"/>
      <c r="U319" s="749"/>
      <c r="V319" s="472"/>
    </row>
    <row r="320" spans="1:24" ht="27" customHeight="1" x14ac:dyDescent="0.15">
      <c r="A320" s="55"/>
      <c r="B320" s="455"/>
      <c r="C320" s="455"/>
      <c r="D320" s="455"/>
      <c r="E320" s="455"/>
      <c r="F320" s="455"/>
      <c r="G320" s="468"/>
      <c r="H320" s="468"/>
      <c r="I320" s="468"/>
      <c r="J320" s="468"/>
      <c r="K320" s="468"/>
      <c r="L320" s="468"/>
      <c r="M320" s="453"/>
      <c r="N320" s="468"/>
      <c r="O320" s="468"/>
      <c r="P320" s="468"/>
      <c r="Q320" s="453"/>
      <c r="R320" s="455"/>
      <c r="S320" s="455"/>
      <c r="T320" s="455"/>
      <c r="U320" s="455"/>
      <c r="V320" s="55"/>
      <c r="W320" s="382"/>
      <c r="X320" s="382"/>
    </row>
    <row r="321" spans="1:44" ht="27" customHeight="1" x14ac:dyDescent="0.15">
      <c r="A321" s="55"/>
      <c r="B321" s="455"/>
      <c r="C321" s="455"/>
      <c r="D321" s="455"/>
      <c r="E321" s="455"/>
      <c r="F321" s="455"/>
      <c r="G321" s="468"/>
      <c r="H321" s="468"/>
      <c r="I321" s="468"/>
      <c r="J321" s="468"/>
      <c r="K321" s="468"/>
      <c r="L321" s="468"/>
      <c r="M321" s="453"/>
      <c r="N321" s="468"/>
      <c r="O321" s="468"/>
      <c r="P321" s="468"/>
      <c r="Q321" s="453"/>
      <c r="R321" s="455"/>
      <c r="S321" s="455"/>
      <c r="T321" s="455"/>
      <c r="U321" s="455"/>
      <c r="V321" s="55"/>
      <c r="W321" s="382"/>
      <c r="X321" s="382"/>
    </row>
    <row r="322" spans="1:44" ht="27" customHeight="1" x14ac:dyDescent="0.15">
      <c r="A322" s="55"/>
      <c r="B322" s="455"/>
      <c r="C322" s="455"/>
      <c r="D322" s="455"/>
      <c r="E322" s="455"/>
      <c r="F322" s="455"/>
      <c r="G322" s="468"/>
      <c r="H322" s="468"/>
      <c r="I322" s="468"/>
      <c r="J322" s="468"/>
      <c r="K322" s="468"/>
      <c r="L322" s="468"/>
      <c r="M322" s="453"/>
      <c r="N322" s="468"/>
      <c r="O322" s="468"/>
      <c r="P322" s="468"/>
      <c r="Q322" s="453"/>
      <c r="R322" s="455"/>
      <c r="S322" s="455"/>
      <c r="T322" s="455"/>
      <c r="U322" s="455"/>
      <c r="V322" s="55"/>
      <c r="W322" s="382"/>
      <c r="X322" s="382"/>
    </row>
    <row r="323" spans="1:44" ht="27" customHeight="1" x14ac:dyDescent="0.15">
      <c r="A323" s="55"/>
      <c r="B323" s="455"/>
      <c r="C323" s="455"/>
      <c r="D323" s="455"/>
      <c r="E323" s="455"/>
      <c r="F323" s="455"/>
      <c r="G323" s="468"/>
      <c r="H323" s="468"/>
      <c r="I323" s="468"/>
      <c r="J323" s="468"/>
      <c r="K323" s="468"/>
      <c r="L323" s="468"/>
      <c r="M323" s="453"/>
      <c r="N323" s="468"/>
      <c r="O323" s="468"/>
      <c r="P323" s="468"/>
      <c r="Q323" s="453"/>
      <c r="R323" s="455"/>
      <c r="S323" s="455"/>
      <c r="T323" s="455"/>
      <c r="U323" s="455"/>
      <c r="V323" s="55"/>
      <c r="W323" s="382"/>
      <c r="X323" s="382"/>
    </row>
    <row r="324" spans="1:44" ht="13.5" customHeight="1" x14ac:dyDescent="0.15">
      <c r="A324" s="55"/>
      <c r="B324" s="55"/>
      <c r="C324" s="55"/>
      <c r="O324" s="55"/>
      <c r="P324" s="55"/>
      <c r="Q324" s="55"/>
      <c r="R324" s="55"/>
      <c r="S324" s="55"/>
    </row>
    <row r="325" spans="1:44" ht="13.5" customHeight="1" thickBot="1" x14ac:dyDescent="0.2">
      <c r="A325" s="55"/>
      <c r="B325" s="55"/>
      <c r="C325" s="55"/>
      <c r="O325" s="55"/>
      <c r="P325" s="55"/>
      <c r="Q325" s="55"/>
      <c r="R325" s="55"/>
      <c r="S325" s="55"/>
      <c r="X325" s="377" t="s">
        <v>1509</v>
      </c>
    </row>
    <row r="326" spans="1:44" ht="27" customHeight="1" thickTop="1" thickBot="1" x14ac:dyDescent="0.2">
      <c r="A326" s="1058" t="s">
        <v>1771</v>
      </c>
      <c r="B326" s="1059"/>
      <c r="C326" s="1059"/>
      <c r="D326" s="1059"/>
      <c r="E326" s="1059"/>
      <c r="F326" s="1059"/>
      <c r="G326" s="1059"/>
      <c r="H326" s="1059"/>
      <c r="I326" s="1059"/>
      <c r="J326" s="1059"/>
      <c r="K326" s="1060"/>
      <c r="L326" s="85" t="s">
        <v>1784</v>
      </c>
      <c r="M326" s="54"/>
      <c r="O326" s="55"/>
      <c r="P326" s="55"/>
      <c r="X326" s="1446" t="s">
        <v>1771</v>
      </c>
      <c r="Y326" s="1447"/>
      <c r="Z326" s="1447"/>
      <c r="AA326" s="1447"/>
      <c r="AB326" s="1447"/>
      <c r="AC326" s="1447"/>
      <c r="AD326" s="1447"/>
      <c r="AE326" s="1447"/>
      <c r="AF326" s="1447"/>
      <c r="AG326" s="1447"/>
      <c r="AH326" s="1448"/>
      <c r="AI326" s="394" t="s">
        <v>1784</v>
      </c>
      <c r="AK326" s="382"/>
      <c r="AL326" s="382"/>
      <c r="AM326" s="382"/>
    </row>
    <row r="327" spans="1:44" ht="13.5" customHeight="1" thickTop="1" x14ac:dyDescent="0.15">
      <c r="A327" s="55" t="s">
        <v>110</v>
      </c>
      <c r="B327" s="447" t="s">
        <v>1481</v>
      </c>
      <c r="C327" s="26"/>
      <c r="D327" s="26"/>
      <c r="E327" s="26"/>
      <c r="F327" s="26"/>
      <c r="G327" s="26"/>
      <c r="H327" s="26"/>
      <c r="I327" s="26"/>
      <c r="J327" s="91"/>
      <c r="O327" s="55"/>
      <c r="P327" s="55"/>
      <c r="Q327" s="55"/>
    </row>
    <row r="328" spans="1:44" ht="13.5" customHeight="1" x14ac:dyDescent="0.15">
      <c r="A328" s="71"/>
      <c r="B328" s="55" t="s">
        <v>1680</v>
      </c>
      <c r="C328" s="55"/>
      <c r="J328" s="86"/>
      <c r="O328" s="55"/>
      <c r="P328" s="55"/>
      <c r="Q328" s="55"/>
      <c r="R328" s="55"/>
      <c r="S328" s="55"/>
      <c r="X328" s="387" t="s">
        <v>1678</v>
      </c>
      <c r="Y328" s="382"/>
      <c r="Z328" s="382"/>
      <c r="AA328" s="382"/>
      <c r="AB328" s="382"/>
      <c r="AC328" s="382"/>
      <c r="AD328" s="382"/>
      <c r="AE328" s="382"/>
      <c r="AF328" s="382"/>
      <c r="AG328" s="395"/>
      <c r="AH328" s="382"/>
      <c r="AI328" s="382"/>
      <c r="AJ328" s="382"/>
      <c r="AK328" s="382"/>
      <c r="AL328" s="382"/>
      <c r="AM328" s="382"/>
      <c r="AN328" s="382"/>
      <c r="AO328" s="382"/>
      <c r="AP328" s="382"/>
    </row>
    <row r="329" spans="1:44" ht="27" customHeight="1" x14ac:dyDescent="0.15">
      <c r="A329" s="1019" t="s">
        <v>490</v>
      </c>
      <c r="B329" s="1122" t="s">
        <v>493</v>
      </c>
      <c r="C329" s="751" t="s">
        <v>496</v>
      </c>
      <c r="D329" s="1023"/>
      <c r="E329" s="1023"/>
      <c r="F329" s="750" t="s">
        <v>483</v>
      </c>
      <c r="G329" s="751"/>
      <c r="H329" s="750" t="s">
        <v>484</v>
      </c>
      <c r="I329" s="751"/>
      <c r="J329" s="1143" t="s">
        <v>485</v>
      </c>
      <c r="K329" s="751"/>
      <c r="L329" s="750" t="s">
        <v>486</v>
      </c>
      <c r="M329" s="751"/>
      <c r="N329" s="1143" t="s">
        <v>487</v>
      </c>
      <c r="O329" s="751"/>
      <c r="P329" s="1023" t="s">
        <v>234</v>
      </c>
      <c r="Q329" s="1023"/>
      <c r="R329" s="1023" t="s">
        <v>488</v>
      </c>
      <c r="S329" s="750"/>
      <c r="T329" s="784" t="s">
        <v>467</v>
      </c>
      <c r="U329" s="731"/>
      <c r="W329" s="377" t="s">
        <v>1674</v>
      </c>
      <c r="X329" s="1435" t="s">
        <v>490</v>
      </c>
      <c r="Y329" s="1449" t="s">
        <v>493</v>
      </c>
      <c r="Z329" s="1452" t="s">
        <v>496</v>
      </c>
      <c r="AA329" s="1453"/>
      <c r="AB329" s="1453"/>
      <c r="AC329" s="1454" t="s">
        <v>115</v>
      </c>
      <c r="AD329" s="1452"/>
      <c r="AE329" s="1454" t="s">
        <v>484</v>
      </c>
      <c r="AF329" s="1452"/>
      <c r="AG329" s="1455" t="s">
        <v>485</v>
      </c>
      <c r="AH329" s="1452"/>
      <c r="AI329" s="1454" t="s">
        <v>486</v>
      </c>
      <c r="AJ329" s="1452"/>
      <c r="AK329" s="1455" t="s">
        <v>487</v>
      </c>
      <c r="AL329" s="1452"/>
      <c r="AM329" s="1453" t="s">
        <v>234</v>
      </c>
      <c r="AN329" s="1453"/>
      <c r="AO329" s="1453" t="s">
        <v>163</v>
      </c>
      <c r="AP329" s="1454"/>
      <c r="AQ329" s="1485" t="s">
        <v>410</v>
      </c>
      <c r="AR329" s="1486"/>
    </row>
    <row r="330" spans="1:44" ht="27" customHeight="1" x14ac:dyDescent="0.15">
      <c r="A330" s="1020"/>
      <c r="B330" s="1123"/>
      <c r="C330" s="782" t="s">
        <v>49</v>
      </c>
      <c r="D330" s="783"/>
      <c r="E330" s="783"/>
      <c r="F330" s="100"/>
      <c r="G330" s="101" t="s">
        <v>0</v>
      </c>
      <c r="H330" s="102"/>
      <c r="I330" s="101" t="s">
        <v>0</v>
      </c>
      <c r="J330" s="100"/>
      <c r="K330" s="101" t="s">
        <v>0</v>
      </c>
      <c r="L330" s="102"/>
      <c r="M330" s="101" t="s">
        <v>0</v>
      </c>
      <c r="N330" s="100"/>
      <c r="O330" s="101" t="s">
        <v>0</v>
      </c>
      <c r="P330" s="103"/>
      <c r="Q330" s="104" t="s">
        <v>0</v>
      </c>
      <c r="R330" s="103"/>
      <c r="S330" s="105" t="s">
        <v>0</v>
      </c>
      <c r="T330" s="106">
        <f>SUM(F330,H330,J330,L330,N330,P330,R330)</f>
        <v>0</v>
      </c>
      <c r="U330" s="118" t="s">
        <v>489</v>
      </c>
      <c r="W330" s="377" t="s">
        <v>1674</v>
      </c>
      <c r="X330" s="1436"/>
      <c r="Y330" s="1450"/>
      <c r="Z330" s="1438" t="s">
        <v>49</v>
      </c>
      <c r="AA330" s="1439"/>
      <c r="AB330" s="1439"/>
      <c r="AC330" s="545">
        <f>COUNTIFS(集計アシストシート!$D$9:$D$208,"正規",集計アシストシート!$E$9:$E$208,"男",集計アシストシート!$G$9:$G$208,"&lt;20",集計アシストシート!$J$9:$J$208,"&lt;12",集計アシストシート!$I$9:$I$208,"",集計アシストシート!$I$9:$I$208,"")</f>
        <v>0</v>
      </c>
      <c r="AD330" s="546" t="s">
        <v>0</v>
      </c>
      <c r="AE330" s="545">
        <f>COUNTIFS(集計アシストシート!$D$9:$D$208,"正規",集計アシストシート!$E$9:$E$208,"男",集計アシストシート!$G$9:$G$208,"&lt;20",集計アシストシート!$J$9:$J$208,"&gt;=12",集計アシストシート!$J$9:$J$208,"&lt;24",集計アシストシート!$I$9:$I$208,"")</f>
        <v>0</v>
      </c>
      <c r="AF330" s="546" t="s">
        <v>0</v>
      </c>
      <c r="AG330" s="545">
        <f>COUNTIFS(集計アシストシート!$D$9:$D$208,"正規",集計アシストシート!$E$9:$E$208,"男",集計アシストシート!$G$9:$G$208,"&lt;20",集計アシストシート!$J$9:$J$208,"&gt;=24",集計アシストシート!$J$9:$J$208,"&lt;36",集計アシストシート!$I$9:$I$208,"")</f>
        <v>0</v>
      </c>
      <c r="AH330" s="546" t="s">
        <v>0</v>
      </c>
      <c r="AI330" s="545">
        <f>COUNTIFS(集計アシストシート!$D$9:$D$208,"正規",集計アシストシート!$E$9:$E$208,"男",集計アシストシート!$G$9:$G$208,"&lt;20",集計アシストシート!$J$9:$J$208,"&gt;=36",集計アシストシート!$J$9:$J$208,"&lt;48",集計アシストシート!$I$9:$I$208,"")</f>
        <v>0</v>
      </c>
      <c r="AJ330" s="546" t="s">
        <v>0</v>
      </c>
      <c r="AK330" s="545">
        <f>COUNTIFS(集計アシストシート!$D$9:$D$208,"正規",集計アシストシート!$E$9:$E$208,"男",集計アシストシート!$G$9:$G$208,"&lt;20",集計アシストシート!$J$9:$J$208,"&gt;=48",集計アシストシート!$J$9:$J$208,"&lt;60",集計アシストシート!$I$9:$I$208,"")</f>
        <v>0</v>
      </c>
      <c r="AL330" s="546" t="s">
        <v>0</v>
      </c>
      <c r="AM330" s="545">
        <f>COUNTIFS(集計アシストシート!$D$9:$D$208,"正規",集計アシストシート!$E$9:$E$208,"男",集計アシストシート!$G$9:$G$208,"&lt;20",集計アシストシート!$J$9:$J$208,"&gt;=60",集計アシストシート!$J$9:$J$208,"&lt;120",集計アシストシート!$I$9:$I$208,"")</f>
        <v>0</v>
      </c>
      <c r="AN330" s="547" t="s">
        <v>0</v>
      </c>
      <c r="AO330" s="545">
        <f>COUNTIFS(集計アシストシート!$D$9:$D$208,"正規",集計アシストシート!$E$9:$E$208,"男",集計アシストシート!$G$9:$G$208,"&lt;20",集計アシストシート!$J$9:$J$208,"&gt;=120",集計アシストシート!$I$9:$I$208,"")</f>
        <v>0</v>
      </c>
      <c r="AP330" s="548" t="s">
        <v>0</v>
      </c>
      <c r="AQ330" s="549">
        <f>SUM(AC330,AE330,AG330,AI330,AK330,AM330,AO330)</f>
        <v>0</v>
      </c>
      <c r="AR330" s="550" t="s">
        <v>71</v>
      </c>
    </row>
    <row r="331" spans="1:44" ht="27" customHeight="1" x14ac:dyDescent="0.15">
      <c r="A331" s="1020"/>
      <c r="B331" s="1123"/>
      <c r="C331" s="712" t="s">
        <v>202</v>
      </c>
      <c r="D331" s="713"/>
      <c r="E331" s="713"/>
      <c r="F331" s="107"/>
      <c r="G331" s="108" t="s">
        <v>0</v>
      </c>
      <c r="H331" s="109"/>
      <c r="I331" s="108" t="s">
        <v>0</v>
      </c>
      <c r="J331" s="107"/>
      <c r="K331" s="108" t="s">
        <v>0</v>
      </c>
      <c r="L331" s="109"/>
      <c r="M331" s="108" t="s">
        <v>0</v>
      </c>
      <c r="N331" s="107"/>
      <c r="O331" s="108" t="s">
        <v>0</v>
      </c>
      <c r="P331" s="109"/>
      <c r="Q331" s="108" t="s">
        <v>0</v>
      </c>
      <c r="R331" s="109"/>
      <c r="S331" s="110" t="s">
        <v>0</v>
      </c>
      <c r="T331" s="111">
        <f t="shared" ref="T331:T336" si="3">SUM(F331,H331,J331,L331,N331,P331,R331)</f>
        <v>0</v>
      </c>
      <c r="U331" s="119" t="s">
        <v>489</v>
      </c>
      <c r="W331" s="377" t="s">
        <v>1674</v>
      </c>
      <c r="X331" s="1436"/>
      <c r="Y331" s="1450"/>
      <c r="Z331" s="1460" t="s">
        <v>202</v>
      </c>
      <c r="AA331" s="1461"/>
      <c r="AB331" s="1461"/>
      <c r="AC331" s="545">
        <f>COUNTIFS(集計アシストシート!$D$9:$D$208,"正規",集計アシストシート!$E$9:$E$208,"男",集計アシストシート!$G$9:$G$208,"&gt;=20",集計アシストシート!$G$9:$G$208,"&lt;30",集計アシストシート!$J$9:$J$208,"&lt;12",集計アシストシート!$I$9:$I$208,"")</f>
        <v>0</v>
      </c>
      <c r="AD331" s="551" t="s">
        <v>0</v>
      </c>
      <c r="AE331" s="545">
        <f>COUNTIFS(集計アシストシート!$D$9:$D$208,"正規",集計アシストシート!$E$9:$E$208,"男",集計アシストシート!$G$9:$G$208,"&gt;=20",集計アシストシート!$G$9:$G$208,"&lt;30",集計アシストシート!$J$9:$J$208,"&gt;=12",集計アシストシート!$J$9:$J$208,"&lt;24",集計アシストシート!$I$9:$I$208,"")</f>
        <v>0</v>
      </c>
      <c r="AF331" s="551" t="s">
        <v>0</v>
      </c>
      <c r="AG331" s="545">
        <f>COUNTIFS(集計アシストシート!$D$9:$D$208,"正規",集計アシストシート!$E$9:$E$208,"男",集計アシストシート!$G$9:$G$208,"&gt;=20",集計アシストシート!$G$9:$G$208,"&lt;30",集計アシストシート!$J$9:$J$208,"&gt;=24",集計アシストシート!$J$9:$J$208,"&lt;36",集計アシストシート!$I$9:$I$208,"")</f>
        <v>0</v>
      </c>
      <c r="AH331" s="551" t="s">
        <v>0</v>
      </c>
      <c r="AI331" s="545">
        <f>COUNTIFS(集計アシストシート!$D$9:$D$208,"正規",集計アシストシート!$E$9:$E$208,"男",集計アシストシート!$G$9:$G$208,"&gt;=20",集計アシストシート!$G$9:$G$208,"&lt;30",集計アシストシート!$J$9:$J$208,"&gt;=36",集計アシストシート!$J$9:$J$208,"&lt;48",集計アシストシート!$I$9:$I$208,"")</f>
        <v>0</v>
      </c>
      <c r="AJ331" s="551" t="s">
        <v>0</v>
      </c>
      <c r="AK331" s="545">
        <f>COUNTIFS(集計アシストシート!$D$9:$D$208,"正規",集計アシストシート!$E$9:$E$208,"男",集計アシストシート!$G$9:$G$208,"&gt;=20",集計アシストシート!$G$9:$G$208,"&lt;30",集計アシストシート!$J$9:$J$208,"&gt;=48",集計アシストシート!$J$9:$J$208,"&lt;60",集計アシストシート!$I$9:$I$208,"")</f>
        <v>0</v>
      </c>
      <c r="AL331" s="551" t="s">
        <v>0</v>
      </c>
      <c r="AM331" s="545">
        <f>COUNTIFS(集計アシストシート!$D$9:$D$208,"正規",集計アシストシート!$E$9:$E$208,"男",集計アシストシート!$G$9:$G$208,"&gt;=20",集計アシストシート!$G$9:$G$208,"&lt;30",集計アシストシート!$J$9:$J$208,"&gt;=60",集計アシストシート!$J$9:$J$208,"&lt;120",集計アシストシート!$I$9:$I$208,"")</f>
        <v>0</v>
      </c>
      <c r="AN331" s="551" t="s">
        <v>0</v>
      </c>
      <c r="AO331" s="545">
        <f>COUNTIFS(集計アシストシート!$D$9:$D$208,"正規",集計アシストシート!$E$9:$E$208,"男",集計アシストシート!$G$9:$G$208,"&gt;=20",集計アシストシート!$G$9:$G$208,"&lt;30",集計アシストシート!$J$9:$J$208,"&gt;=120",集計アシストシート!$I$9:$I$208,"")</f>
        <v>0</v>
      </c>
      <c r="AP331" s="552" t="s">
        <v>0</v>
      </c>
      <c r="AQ331" s="553">
        <f t="shared" ref="AQ331:AQ336" si="4">SUM(AC331,AE331,AG331,AI331,AK331,AM331,AO331)</f>
        <v>0</v>
      </c>
      <c r="AR331" s="554" t="s">
        <v>71</v>
      </c>
    </row>
    <row r="332" spans="1:44" ht="27" customHeight="1" x14ac:dyDescent="0.15">
      <c r="A332" s="1020"/>
      <c r="B332" s="1123"/>
      <c r="C332" s="712" t="s">
        <v>203</v>
      </c>
      <c r="D332" s="713"/>
      <c r="E332" s="713"/>
      <c r="F332" s="107"/>
      <c r="G332" s="108" t="s">
        <v>0</v>
      </c>
      <c r="H332" s="109"/>
      <c r="I332" s="108" t="s">
        <v>0</v>
      </c>
      <c r="J332" s="107"/>
      <c r="K332" s="108" t="s">
        <v>0</v>
      </c>
      <c r="L332" s="109"/>
      <c r="M332" s="108" t="s">
        <v>0</v>
      </c>
      <c r="N332" s="107"/>
      <c r="O332" s="108" t="s">
        <v>0</v>
      </c>
      <c r="P332" s="109"/>
      <c r="Q332" s="108" t="s">
        <v>0</v>
      </c>
      <c r="R332" s="109"/>
      <c r="S332" s="110" t="s">
        <v>0</v>
      </c>
      <c r="T332" s="111">
        <f t="shared" si="3"/>
        <v>0</v>
      </c>
      <c r="U332" s="119" t="s">
        <v>489</v>
      </c>
      <c r="W332" s="377" t="s">
        <v>1674</v>
      </c>
      <c r="X332" s="1436"/>
      <c r="Y332" s="1450"/>
      <c r="Z332" s="1460" t="s">
        <v>203</v>
      </c>
      <c r="AA332" s="1461"/>
      <c r="AB332" s="1461"/>
      <c r="AC332" s="545">
        <f>COUNTIFS(集計アシストシート!$D$9:$D$208,"正規",集計アシストシート!$E$9:$E$208,"男",集計アシストシート!$G$9:$G$208,"&gt;=30",集計アシストシート!$G$9:$G$208,"&lt;40",集計アシストシート!$J$9:$J$208,"&lt;12",集計アシストシート!$I$9:$I$208,"")</f>
        <v>0</v>
      </c>
      <c r="AD332" s="551" t="s">
        <v>0</v>
      </c>
      <c r="AE332" s="545">
        <f>COUNTIFS(集計アシストシート!$D$9:$D$208,"正規",集計アシストシート!$E$9:$E$208,"男",集計アシストシート!$G$9:$G$208,"&gt;=30",集計アシストシート!$G$9:$G$208,"&lt;40",集計アシストシート!$J$9:$J$208,"&gt;=12",集計アシストシート!$J$9:$J$208,"&lt;24",集計アシストシート!$I$9:$I$208,"")</f>
        <v>0</v>
      </c>
      <c r="AF332" s="551" t="s">
        <v>0</v>
      </c>
      <c r="AG332" s="545">
        <f>COUNTIFS(集計アシストシート!$D$9:$D$208,"正規",集計アシストシート!$E$9:$E$208,"男",集計アシストシート!$G$9:$G$208,"&gt;=30",集計アシストシート!$G$9:$G$208,"&lt;40",集計アシストシート!$J$9:$J$208,"&gt;=24",集計アシストシート!$J$9:$J$208,"&lt;36",集計アシストシート!$I$9:$I$208,"")</f>
        <v>0</v>
      </c>
      <c r="AH332" s="551" t="s">
        <v>0</v>
      </c>
      <c r="AI332" s="545">
        <f>COUNTIFS(集計アシストシート!$D$9:$D$208,"正規",集計アシストシート!$E$9:$E$208,"男",集計アシストシート!$G$9:$G$208,"&gt;=30",集計アシストシート!$G$9:$G$208,"&lt;40",集計アシストシート!$J$9:$J$208,"&gt;=36",集計アシストシート!$J$9:$J$208,"&lt;48",集計アシストシート!$I$9:$I$208,"")</f>
        <v>0</v>
      </c>
      <c r="AJ332" s="551" t="s">
        <v>0</v>
      </c>
      <c r="AK332" s="545">
        <f>COUNTIFS(集計アシストシート!$D$9:$D$208,"正規",集計アシストシート!$E$9:$E$208,"男",集計アシストシート!$G$9:$G$208,"&gt;=30",集計アシストシート!$G$9:$G$208,"&lt;40",集計アシストシート!$J$9:$J$208,"&gt;=48",集計アシストシート!$J$9:$J$208,"&lt;60",集計アシストシート!$I$9:$I$208,"")</f>
        <v>0</v>
      </c>
      <c r="AL332" s="551" t="s">
        <v>0</v>
      </c>
      <c r="AM332" s="545">
        <f>COUNTIFS(集計アシストシート!$D$9:$D$208,"正規",集計アシストシート!$E$9:$E$208,"男",集計アシストシート!$G$9:$G$208,"&gt;=30",集計アシストシート!$G$9:$G$208,"&lt;40",集計アシストシート!$J$9:$J$208,"&gt;=60",集計アシストシート!$J$9:$J$208,"&lt;120",集計アシストシート!$I$9:$I$208,"")</f>
        <v>0</v>
      </c>
      <c r="AN332" s="551" t="s">
        <v>0</v>
      </c>
      <c r="AO332" s="545">
        <f>COUNTIFS(集計アシストシート!$D$9:$D$208,"正規",集計アシストシート!$E$9:$E$208,"男",集計アシストシート!$G$9:$G$208,"&gt;=30",集計アシストシート!$G$9:$G$208,"&lt;40",集計アシストシート!$J$9:$J$208,"&gt;=120",集計アシストシート!$I$9:$I$208,"")</f>
        <v>0</v>
      </c>
      <c r="AP332" s="552" t="s">
        <v>0</v>
      </c>
      <c r="AQ332" s="553">
        <f t="shared" si="4"/>
        <v>0</v>
      </c>
      <c r="AR332" s="554" t="s">
        <v>71</v>
      </c>
    </row>
    <row r="333" spans="1:44" ht="27" customHeight="1" x14ac:dyDescent="0.15">
      <c r="A333" s="1020"/>
      <c r="B333" s="1123"/>
      <c r="C333" s="712" t="s">
        <v>204</v>
      </c>
      <c r="D333" s="713"/>
      <c r="E333" s="713"/>
      <c r="F333" s="107"/>
      <c r="G333" s="108" t="s">
        <v>0</v>
      </c>
      <c r="H333" s="109"/>
      <c r="I333" s="108" t="s">
        <v>0</v>
      </c>
      <c r="J333" s="107"/>
      <c r="K333" s="108" t="s">
        <v>0</v>
      </c>
      <c r="L333" s="109"/>
      <c r="M333" s="108" t="s">
        <v>0</v>
      </c>
      <c r="N333" s="107"/>
      <c r="O333" s="108" t="s">
        <v>0</v>
      </c>
      <c r="P333" s="109"/>
      <c r="Q333" s="108" t="s">
        <v>0</v>
      </c>
      <c r="R333" s="109"/>
      <c r="S333" s="110" t="s">
        <v>0</v>
      </c>
      <c r="T333" s="111">
        <f t="shared" si="3"/>
        <v>0</v>
      </c>
      <c r="U333" s="119" t="s">
        <v>489</v>
      </c>
      <c r="W333" s="377" t="s">
        <v>1674</v>
      </c>
      <c r="X333" s="1436"/>
      <c r="Y333" s="1450"/>
      <c r="Z333" s="1460" t="s">
        <v>204</v>
      </c>
      <c r="AA333" s="1461"/>
      <c r="AB333" s="1461"/>
      <c r="AC333" s="545">
        <f>COUNTIFS(集計アシストシート!$D$9:$D$208,"正規",集計アシストシート!$E$9:$E$208,"男",集計アシストシート!$G$9:$G$208,"&gt;=40",集計アシストシート!$G$9:$G$208,"&lt;50",集計アシストシート!$J$9:$J$208,"&lt;12",集計アシストシート!$I$9:$I$208,"")</f>
        <v>0</v>
      </c>
      <c r="AD333" s="551" t="s">
        <v>0</v>
      </c>
      <c r="AE333" s="545">
        <f>COUNTIFS(集計アシストシート!$D$9:$D$208,"正規",集計アシストシート!$E$9:$E$208,"男",集計アシストシート!$G$9:$G$208,"&gt;=40",集計アシストシート!$G$9:$G$208,"&lt;50",集計アシストシート!$J$9:$J$208,"&gt;=12",集計アシストシート!$J$9:$J$208,"&lt;24",集計アシストシート!$I$9:$I$208,"")</f>
        <v>0</v>
      </c>
      <c r="AF333" s="551" t="s">
        <v>0</v>
      </c>
      <c r="AG333" s="545">
        <f>COUNTIFS(集計アシストシート!$D$9:$D$208,"正規",集計アシストシート!$E$9:$E$208,"男",集計アシストシート!$G$9:$G$208,"&gt;=40",集計アシストシート!$G$9:$G$208,"&lt;50",集計アシストシート!$J$9:$J$208,"&gt;=24",集計アシストシート!$J$9:$J$208,"&lt;36",集計アシストシート!$I$9:$I$208,"")</f>
        <v>0</v>
      </c>
      <c r="AH333" s="551" t="s">
        <v>0</v>
      </c>
      <c r="AI333" s="545">
        <f>COUNTIFS(集計アシストシート!$D$9:$D$208,"正規",集計アシストシート!$E$9:$E$208,"男",集計アシストシート!$G$9:$G$208,"&gt;=40",集計アシストシート!$G$9:$G$208,"&lt;50",集計アシストシート!$J$9:$J$208,"&gt;=36",集計アシストシート!$J$9:$J$208,"&lt;48",集計アシストシート!$I$9:$I$208,"")</f>
        <v>0</v>
      </c>
      <c r="AJ333" s="551" t="s">
        <v>0</v>
      </c>
      <c r="AK333" s="545">
        <f>COUNTIFS(集計アシストシート!$D$9:$D$208,"正規",集計アシストシート!$E$9:$E$208,"男",集計アシストシート!$G$9:$G$208,"&gt;=40",集計アシストシート!$G$9:$G$208,"&lt;50",集計アシストシート!$J$9:$J$208,"&gt;=48",集計アシストシート!$J$9:$J$208,"&lt;60",集計アシストシート!$I$9:$I$208,"")</f>
        <v>0</v>
      </c>
      <c r="AL333" s="551" t="s">
        <v>0</v>
      </c>
      <c r="AM333" s="545">
        <f>COUNTIFS(集計アシストシート!$D$9:$D$208,"正規",集計アシストシート!$E$9:$E$208,"男",集計アシストシート!$G$9:$G$208,"&gt;=40",集計アシストシート!$G$9:$G$208,"&lt;50",集計アシストシート!$J$9:$J$208,"&gt;=60",集計アシストシート!$J$9:$J$208,"&lt;120",集計アシストシート!$I$9:$I$208,"")</f>
        <v>0</v>
      </c>
      <c r="AN333" s="551" t="s">
        <v>0</v>
      </c>
      <c r="AO333" s="545">
        <f>COUNTIFS(集計アシストシート!$D$9:$D$208,"正規",集計アシストシート!$E$9:$E$208,"男",集計アシストシート!$G$9:$G$208,"&gt;=40",集計アシストシート!$G$9:$G$208,"&lt;50",集計アシストシート!$J$9:$J$208,"&gt;=120",集計アシストシート!$I$9:$I$208,"")</f>
        <v>0</v>
      </c>
      <c r="AP333" s="552" t="s">
        <v>0</v>
      </c>
      <c r="AQ333" s="553">
        <f t="shared" si="4"/>
        <v>0</v>
      </c>
      <c r="AR333" s="554" t="s">
        <v>71</v>
      </c>
    </row>
    <row r="334" spans="1:44" ht="27" customHeight="1" x14ac:dyDescent="0.15">
      <c r="A334" s="1020"/>
      <c r="B334" s="1123"/>
      <c r="C334" s="712" t="s">
        <v>205</v>
      </c>
      <c r="D334" s="713"/>
      <c r="E334" s="713"/>
      <c r="F334" s="107"/>
      <c r="G334" s="108" t="s">
        <v>0</v>
      </c>
      <c r="H334" s="109"/>
      <c r="I334" s="108" t="s">
        <v>0</v>
      </c>
      <c r="J334" s="107"/>
      <c r="K334" s="108" t="s">
        <v>0</v>
      </c>
      <c r="L334" s="109"/>
      <c r="M334" s="108" t="s">
        <v>0</v>
      </c>
      <c r="N334" s="107"/>
      <c r="O334" s="108" t="s">
        <v>0</v>
      </c>
      <c r="P334" s="109"/>
      <c r="Q334" s="108" t="s">
        <v>0</v>
      </c>
      <c r="R334" s="109"/>
      <c r="S334" s="110" t="s">
        <v>0</v>
      </c>
      <c r="T334" s="111">
        <f t="shared" si="3"/>
        <v>0</v>
      </c>
      <c r="U334" s="119" t="s">
        <v>489</v>
      </c>
      <c r="W334" s="377" t="s">
        <v>1674</v>
      </c>
      <c r="X334" s="1436"/>
      <c r="Y334" s="1450"/>
      <c r="Z334" s="1460" t="s">
        <v>205</v>
      </c>
      <c r="AA334" s="1461"/>
      <c r="AB334" s="1461"/>
      <c r="AC334" s="545">
        <f>COUNTIFS(集計アシストシート!$D$9:$D$208,"正規",集計アシストシート!$E$9:$E$208,"男",集計アシストシート!$G$9:$G$208,"&gt;=50",集計アシストシート!$G$9:$G$208,"&lt;60",集計アシストシート!$J$9:$J$208,"&lt;12",集計アシストシート!$I$9:$I$208,"")</f>
        <v>0</v>
      </c>
      <c r="AD334" s="551" t="s">
        <v>0</v>
      </c>
      <c r="AE334" s="545">
        <f>COUNTIFS(集計アシストシート!$D$9:$D$208,"正規",集計アシストシート!$E$9:$E$208,"男",集計アシストシート!$G$9:$G$208,"&gt;=50",集計アシストシート!$G$9:$G$208,"&lt;60",集計アシストシート!$J$9:$J$208,"&gt;=12",集計アシストシート!$J$9:$J$208,"&lt;24",集計アシストシート!$I$9:$I$208,"")</f>
        <v>0</v>
      </c>
      <c r="AF334" s="551" t="s">
        <v>0</v>
      </c>
      <c r="AG334" s="545">
        <f>COUNTIFS(集計アシストシート!$D$9:$D$208,"正規",集計アシストシート!$E$9:$E$208,"男",集計アシストシート!$G$9:$G$208,"&gt;=50",集計アシストシート!$G$9:$G$208,"&lt;60",集計アシストシート!$J$9:$J$208,"&gt;=24",集計アシストシート!$J$9:$J$208,"&lt;36",集計アシストシート!$I$9:$I$208,"")</f>
        <v>0</v>
      </c>
      <c r="AH334" s="551" t="s">
        <v>0</v>
      </c>
      <c r="AI334" s="545">
        <f>COUNTIFS(集計アシストシート!$D$9:$D$208,"正規",集計アシストシート!$E$9:$E$208,"男",集計アシストシート!$G$9:$G$208,"&gt;=50",集計アシストシート!$G$9:$G$208,"&lt;60",集計アシストシート!$J$9:$J$208,"&gt;=36",集計アシストシート!$J$9:$J$208,"&lt;48",集計アシストシート!$I$9:$I$208,"")</f>
        <v>0</v>
      </c>
      <c r="AJ334" s="551" t="s">
        <v>0</v>
      </c>
      <c r="AK334" s="545">
        <f>COUNTIFS(集計アシストシート!$D$9:$D$208,"正規",集計アシストシート!$E$9:$E$208,"男",集計アシストシート!$G$9:$G$208,"&gt;=50",集計アシストシート!$G$9:$G$208,"&lt;60",集計アシストシート!$J$9:$J$208,"&gt;=48",集計アシストシート!$J$9:$J$208,"&lt;60",集計アシストシート!$I$9:$I$208,"")</f>
        <v>0</v>
      </c>
      <c r="AL334" s="551" t="s">
        <v>0</v>
      </c>
      <c r="AM334" s="545">
        <f>COUNTIFS(集計アシストシート!$D$9:$D$208,"正規",集計アシストシート!$E$9:$E$208,"男",集計アシストシート!$G$9:$G$208,"&gt;=50",集計アシストシート!$G$9:$G$208,"&lt;60",集計アシストシート!$J$9:$J$208,"&gt;=60",集計アシストシート!$J$9:$J$208,"&lt;120",集計アシストシート!$I$9:$I$208,"")</f>
        <v>0</v>
      </c>
      <c r="AN334" s="551" t="s">
        <v>0</v>
      </c>
      <c r="AO334" s="545">
        <f>COUNTIFS(集計アシストシート!$D$9:$D$208,"正規",集計アシストシート!$E$9:$E$208,"男",集計アシストシート!$G$9:$G$208,"&gt;=50",集計アシストシート!$G$9:$G$208,"&lt;60",集計アシストシート!$J$9:$J$208,"&gt;=120",集計アシストシート!$I$9:$I$208,"")</f>
        <v>0</v>
      </c>
      <c r="AP334" s="552" t="s">
        <v>0</v>
      </c>
      <c r="AQ334" s="553">
        <f t="shared" si="4"/>
        <v>0</v>
      </c>
      <c r="AR334" s="554" t="s">
        <v>71</v>
      </c>
    </row>
    <row r="335" spans="1:44" ht="27" customHeight="1" thickBot="1" x14ac:dyDescent="0.2">
      <c r="A335" s="1020"/>
      <c r="B335" s="1123"/>
      <c r="C335" s="836" t="s">
        <v>206</v>
      </c>
      <c r="D335" s="837"/>
      <c r="E335" s="837"/>
      <c r="F335" s="112"/>
      <c r="G335" s="113" t="s">
        <v>0</v>
      </c>
      <c r="H335" s="114"/>
      <c r="I335" s="113" t="s">
        <v>0</v>
      </c>
      <c r="J335" s="112"/>
      <c r="K335" s="113" t="s">
        <v>0</v>
      </c>
      <c r="L335" s="114"/>
      <c r="M335" s="113" t="s">
        <v>0</v>
      </c>
      <c r="N335" s="112"/>
      <c r="O335" s="113" t="s">
        <v>0</v>
      </c>
      <c r="P335" s="114"/>
      <c r="Q335" s="113" t="s">
        <v>0</v>
      </c>
      <c r="R335" s="114"/>
      <c r="S335" s="115" t="s">
        <v>0</v>
      </c>
      <c r="T335" s="116">
        <f t="shared" si="3"/>
        <v>0</v>
      </c>
      <c r="U335" s="120" t="s">
        <v>489</v>
      </c>
      <c r="W335" s="377" t="s">
        <v>1674</v>
      </c>
      <c r="X335" s="1436"/>
      <c r="Y335" s="1450"/>
      <c r="Z335" s="1462" t="s">
        <v>206</v>
      </c>
      <c r="AA335" s="1463"/>
      <c r="AB335" s="1463"/>
      <c r="AC335" s="545">
        <f>COUNTIFS(集計アシストシート!$D$9:$D$208,"正規",集計アシストシート!$E$9:$E$208,"男",集計アシストシート!$G$9:$G$208,"&gt;=60",集計アシストシート!$J$9:$J$208,"&lt;12",集計アシストシート!$I$9:$I$208,"")</f>
        <v>0</v>
      </c>
      <c r="AD335" s="555" t="s">
        <v>0</v>
      </c>
      <c r="AE335" s="545">
        <f>COUNTIFS(集計アシストシート!$D$9:$D$208,"正規",集計アシストシート!$E$9:$E$208,"男",集計アシストシート!$G$9:$G$208,"&gt;=60",集計アシストシート!$J$9:$J$208,"&gt;=12",集計アシストシート!$J$9:$J$208,"&lt;24",集計アシストシート!$I$9:$I$208,"")</f>
        <v>0</v>
      </c>
      <c r="AF335" s="555" t="s">
        <v>0</v>
      </c>
      <c r="AG335" s="545">
        <f>COUNTIFS(集計アシストシート!$D$9:$D$208,"正規",集計アシストシート!$E$9:$E$208,"男",集計アシストシート!$G$9:$G$208,"&gt;=60",集計アシストシート!$J$9:$J$208,"&gt;=24",集計アシストシート!$J$9:$J$208,"&lt;36",集計アシストシート!$I$9:$I$208,"")</f>
        <v>0</v>
      </c>
      <c r="AH335" s="555" t="s">
        <v>0</v>
      </c>
      <c r="AI335" s="545">
        <f>COUNTIFS(集計アシストシート!$D$9:$D$208,"正規",集計アシストシート!$E$9:$E$208,"男",集計アシストシート!$G$9:$G$208,"&gt;=60",集計アシストシート!$J$9:$J$208,"&gt;=36",集計アシストシート!$J$9:$J$208,"&lt;48",集計アシストシート!$I$9:$I$208,"")</f>
        <v>0</v>
      </c>
      <c r="AJ335" s="555" t="s">
        <v>0</v>
      </c>
      <c r="AK335" s="545">
        <f>COUNTIFS(集計アシストシート!$D$9:$D$208,"正規",集計アシストシート!$E$9:$E$208,"男",集計アシストシート!$G$9:$G$208,"&gt;=60",集計アシストシート!$J$9:$J$208,"&gt;=48",集計アシストシート!$J$9:$J$208,"&lt;60",集計アシストシート!$I$9:$I$208,"")</f>
        <v>0</v>
      </c>
      <c r="AL335" s="555" t="s">
        <v>0</v>
      </c>
      <c r="AM335" s="545">
        <f>COUNTIFS(集計アシストシート!$D$9:$D$208,"正規",集計アシストシート!$E$9:$E$208,"男",集計アシストシート!$G$9:$G$208,"&gt;=60",集計アシストシート!$J$9:$J$208,"&gt;=60",集計アシストシート!$J$9:$J$208,"&lt;120",集計アシストシート!$I$9:$I$208,"")</f>
        <v>0</v>
      </c>
      <c r="AN335" s="555" t="s">
        <v>0</v>
      </c>
      <c r="AO335" s="545">
        <f>COUNTIFS(集計アシストシート!$D$9:$D$208,"正規",集計アシストシート!$E$9:$E$208,"男",集計アシストシート!$G$9:$G$208,"&gt;=60",集計アシストシート!$J$9:$J$208,"&gt;=120",集計アシストシート!$I$9:$I$208,"")</f>
        <v>0</v>
      </c>
      <c r="AP335" s="556" t="s">
        <v>0</v>
      </c>
      <c r="AQ335" s="557">
        <f t="shared" si="4"/>
        <v>0</v>
      </c>
      <c r="AR335" s="558" t="s">
        <v>71</v>
      </c>
    </row>
    <row r="336" spans="1:44" ht="27" customHeight="1" thickTop="1" x14ac:dyDescent="0.15">
      <c r="A336" s="1020"/>
      <c r="B336" s="1124"/>
      <c r="C336" s="838" t="s">
        <v>410</v>
      </c>
      <c r="D336" s="839"/>
      <c r="E336" s="839"/>
      <c r="F336" s="121" t="str">
        <f>IF(F330+F331+F332+F333+F334+F335=0,"",F330+F331+F332+F333+F334+F335)</f>
        <v/>
      </c>
      <c r="G336" s="121" t="s">
        <v>0</v>
      </c>
      <c r="H336" s="501" t="str">
        <f>IF(H330+H331+H332+H333+H334+H335=0,"",H330+H331+H332+H333+H334+H335)</f>
        <v/>
      </c>
      <c r="I336" s="122" t="s">
        <v>0</v>
      </c>
      <c r="J336" s="121" t="str">
        <f>IF(J330+J331+J332+J333+J334+J335=0,"",J330+J331+J332+J333+J334+J335)</f>
        <v/>
      </c>
      <c r="K336" s="121" t="s">
        <v>0</v>
      </c>
      <c r="L336" s="501" t="str">
        <f>IF(L330+L331+L332+L333+L334+L335=0,"",L330+L331+L332+L333+L334+L335)</f>
        <v/>
      </c>
      <c r="M336" s="122" t="s">
        <v>0</v>
      </c>
      <c r="N336" s="121" t="str">
        <f>IF(N330+N331+N332+N333+N334+N335=0,"",N330+N331+N332+N333+N334+N335)</f>
        <v/>
      </c>
      <c r="O336" s="121" t="s">
        <v>0</v>
      </c>
      <c r="P336" s="501" t="str">
        <f>IF(P330+P331+P332+P333+P334+P335=0,"",P330+P331+P332+P333+P334+P335)</f>
        <v/>
      </c>
      <c r="Q336" s="122" t="s">
        <v>0</v>
      </c>
      <c r="R336" s="501" t="str">
        <f>IF(R330+R331+R332+R333+R334+R335=0,"",R330+R331+R332+R333+R334+R335)</f>
        <v/>
      </c>
      <c r="S336" s="121" t="s">
        <v>0</v>
      </c>
      <c r="T336" s="123">
        <f t="shared" si="3"/>
        <v>0</v>
      </c>
      <c r="U336" s="124" t="s">
        <v>489</v>
      </c>
      <c r="W336" s="377" t="s">
        <v>1674</v>
      </c>
      <c r="X336" s="1436"/>
      <c r="Y336" s="1451"/>
      <c r="Z336" s="1464" t="s">
        <v>410</v>
      </c>
      <c r="AA336" s="1465"/>
      <c r="AB336" s="1465"/>
      <c r="AC336" s="559" t="str">
        <f>IF(AC330+AC331+AC332+AC333+AC334+AC335=0,"",AC330+AC331+AC332+AC333+AC334+AC335)</f>
        <v/>
      </c>
      <c r="AD336" s="559" t="s">
        <v>0</v>
      </c>
      <c r="AE336" s="560" t="str">
        <f>IF(AE330+AE331+AE332+AE333+AE334+AE335=0,"",AE330+AE331+AE332+AE333+AE334+AE335)</f>
        <v/>
      </c>
      <c r="AF336" s="561" t="s">
        <v>0</v>
      </c>
      <c r="AG336" s="559" t="str">
        <f>IF(AG330+AG331+AG332+AG333+AG334+AG335=0,"",AG330+AG331+AG332+AG333+AG334+AG335)</f>
        <v/>
      </c>
      <c r="AH336" s="559" t="s">
        <v>0</v>
      </c>
      <c r="AI336" s="560" t="str">
        <f>IF(AI330+AI331+AI332+AI333+AI334+AI335=0,"",AI330+AI331+AI332+AI333+AI334+AI335)</f>
        <v/>
      </c>
      <c r="AJ336" s="561" t="s">
        <v>0</v>
      </c>
      <c r="AK336" s="559" t="str">
        <f>IF(AK330+AK331+AK332+AK333+AK334+AK335=0,"",AK330+AK331+AK332+AK333+AK334+AK335)</f>
        <v/>
      </c>
      <c r="AL336" s="559" t="s">
        <v>0</v>
      </c>
      <c r="AM336" s="560" t="str">
        <f>IF(AM330+AM331+AM332+AM333+AM334+AM335=0,"",AM330+AM331+AM332+AM333+AM334+AM335)</f>
        <v/>
      </c>
      <c r="AN336" s="561" t="s">
        <v>0</v>
      </c>
      <c r="AO336" s="560" t="str">
        <f>IF(AO330+AO331+AO332+AO333+AO334+AO335=0,"",AO330+AO331+AO332+AO333+AO334+AO335)</f>
        <v/>
      </c>
      <c r="AP336" s="559" t="s">
        <v>0</v>
      </c>
      <c r="AQ336" s="562">
        <f t="shared" si="4"/>
        <v>0</v>
      </c>
      <c r="AR336" s="563" t="s">
        <v>71</v>
      </c>
    </row>
    <row r="337" spans="1:44" ht="27" customHeight="1" x14ac:dyDescent="0.15">
      <c r="A337" s="1020"/>
      <c r="B337" s="1122" t="s">
        <v>494</v>
      </c>
      <c r="C337" s="751" t="s">
        <v>496</v>
      </c>
      <c r="D337" s="1023"/>
      <c r="E337" s="1023"/>
      <c r="F337" s="750" t="s">
        <v>483</v>
      </c>
      <c r="G337" s="751"/>
      <c r="H337" s="750" t="s">
        <v>484</v>
      </c>
      <c r="I337" s="751"/>
      <c r="J337" s="1143" t="s">
        <v>485</v>
      </c>
      <c r="K337" s="751"/>
      <c r="L337" s="750" t="s">
        <v>486</v>
      </c>
      <c r="M337" s="751"/>
      <c r="N337" s="1143" t="s">
        <v>487</v>
      </c>
      <c r="O337" s="751"/>
      <c r="P337" s="1023" t="s">
        <v>234</v>
      </c>
      <c r="Q337" s="1023"/>
      <c r="R337" s="1023" t="s">
        <v>488</v>
      </c>
      <c r="S337" s="750"/>
      <c r="T337" s="784" t="s">
        <v>467</v>
      </c>
      <c r="U337" s="731"/>
      <c r="W337" s="377" t="s">
        <v>1674</v>
      </c>
      <c r="X337" s="1436"/>
      <c r="Y337" s="1449" t="s">
        <v>494</v>
      </c>
      <c r="Z337" s="1452" t="s">
        <v>496</v>
      </c>
      <c r="AA337" s="1453"/>
      <c r="AB337" s="1453"/>
      <c r="AC337" s="1454" t="s">
        <v>115</v>
      </c>
      <c r="AD337" s="1452"/>
      <c r="AE337" s="1454" t="s">
        <v>484</v>
      </c>
      <c r="AF337" s="1452"/>
      <c r="AG337" s="1455" t="s">
        <v>485</v>
      </c>
      <c r="AH337" s="1452"/>
      <c r="AI337" s="1454" t="s">
        <v>486</v>
      </c>
      <c r="AJ337" s="1452"/>
      <c r="AK337" s="1455" t="s">
        <v>487</v>
      </c>
      <c r="AL337" s="1452"/>
      <c r="AM337" s="1453" t="s">
        <v>234</v>
      </c>
      <c r="AN337" s="1453"/>
      <c r="AO337" s="1453" t="s">
        <v>163</v>
      </c>
      <c r="AP337" s="1454"/>
      <c r="AQ337" s="1485" t="s">
        <v>410</v>
      </c>
      <c r="AR337" s="1486"/>
    </row>
    <row r="338" spans="1:44" ht="27" customHeight="1" x14ac:dyDescent="0.15">
      <c r="A338" s="1020"/>
      <c r="B338" s="1123"/>
      <c r="C338" s="782" t="s">
        <v>49</v>
      </c>
      <c r="D338" s="783"/>
      <c r="E338" s="783"/>
      <c r="F338" s="100"/>
      <c r="G338" s="101" t="s">
        <v>0</v>
      </c>
      <c r="H338" s="102"/>
      <c r="I338" s="101" t="s">
        <v>0</v>
      </c>
      <c r="J338" s="100"/>
      <c r="K338" s="101" t="s">
        <v>0</v>
      </c>
      <c r="L338" s="102"/>
      <c r="M338" s="101" t="s">
        <v>0</v>
      </c>
      <c r="N338" s="100"/>
      <c r="O338" s="101" t="s">
        <v>0</v>
      </c>
      <c r="P338" s="103"/>
      <c r="Q338" s="104" t="s">
        <v>0</v>
      </c>
      <c r="R338" s="103"/>
      <c r="S338" s="105" t="s">
        <v>0</v>
      </c>
      <c r="T338" s="106">
        <f>SUM(F338,H338,J338,L338,N338,P338,R338)</f>
        <v>0</v>
      </c>
      <c r="U338" s="118" t="s">
        <v>489</v>
      </c>
      <c r="W338" s="377" t="s">
        <v>1674</v>
      </c>
      <c r="X338" s="1436"/>
      <c r="Y338" s="1450"/>
      <c r="Z338" s="1438" t="s">
        <v>49</v>
      </c>
      <c r="AA338" s="1439"/>
      <c r="AB338" s="1439"/>
      <c r="AC338" s="545">
        <f>COUNTIFS(集計アシストシート!$D$9:$D$208,"非正規",集計アシストシート!$E$9:$E$208,"男",集計アシストシート!$G$9:$G$208,"&lt;20",集計アシストシート!$J$9:$J$208,"&lt;12",集計アシストシート!$I$9:$I$208,"")</f>
        <v>0</v>
      </c>
      <c r="AD338" s="546" t="s">
        <v>0</v>
      </c>
      <c r="AE338" s="545">
        <f>COUNTIFS(集計アシストシート!$D$9:$D$208,"非正規",集計アシストシート!$E$9:$E$208,"男",集計アシストシート!$G$9:$G$208,"&lt;20",集計アシストシート!$J$9:$J$208,"&gt;=12",集計アシストシート!$J$9:$J$208,"&lt;24",集計アシストシート!$I$9:$I$208,"")</f>
        <v>0</v>
      </c>
      <c r="AF338" s="546" t="s">
        <v>0</v>
      </c>
      <c r="AG338" s="545">
        <f>COUNTIFS(集計アシストシート!$D$9:$D$208,"非正規",集計アシストシート!$E$9:$E$208,"男",集計アシストシート!$G$9:$G$208,"&lt;20",集計アシストシート!$J$9:$J$208,"&gt;=24",集計アシストシート!$J$9:$J$208,"&lt;36",集計アシストシート!$I$9:$I$208,"")</f>
        <v>0</v>
      </c>
      <c r="AH338" s="546" t="s">
        <v>0</v>
      </c>
      <c r="AI338" s="545">
        <f>COUNTIFS(集計アシストシート!$D$9:$D$208,"非正規",集計アシストシート!$E$9:$E$208,"男",集計アシストシート!$G$9:$G$208,"&lt;20",集計アシストシート!$J$9:$J$208,"&gt;=36",集計アシストシート!$J$9:$J$208,"&lt;48",集計アシストシート!$I$9:$I$208,"")</f>
        <v>0</v>
      </c>
      <c r="AJ338" s="546" t="s">
        <v>0</v>
      </c>
      <c r="AK338" s="545">
        <f>COUNTIFS(集計アシストシート!$D$9:$D$208,"非正規",集計アシストシート!$E$9:$E$208,"男",集計アシストシート!$G$9:$G$208,"&lt;20",集計アシストシート!$J$9:$J$208,"&gt;=48",集計アシストシート!$J$9:$J$208,"&lt;60",集計アシストシート!$I$9:$I$208,"")</f>
        <v>0</v>
      </c>
      <c r="AL338" s="546" t="s">
        <v>0</v>
      </c>
      <c r="AM338" s="545">
        <f>COUNTIFS(集計アシストシート!$D$9:$D$208,"非正規",集計アシストシート!$E$9:$E$208,"男",集計アシストシート!$G$9:$G$208,"&lt;20",集計アシストシート!$J$9:$J$208,"&gt;=60",集計アシストシート!$J$9:$J$208,"&lt;120",集計アシストシート!$I$9:$I$208,"")</f>
        <v>0</v>
      </c>
      <c r="AN338" s="547" t="s">
        <v>0</v>
      </c>
      <c r="AO338" s="545">
        <f>COUNTIFS(集計アシストシート!$D$9:$D$208,"非正規",集計アシストシート!$E$9:$E$208,"男",集計アシストシート!$G$9:$G$208,"&lt;20",集計アシストシート!$J$9:$J$208,"&gt;=120",集計アシストシート!$I$9:$I$208,"")</f>
        <v>0</v>
      </c>
      <c r="AP338" s="548" t="s">
        <v>0</v>
      </c>
      <c r="AQ338" s="549">
        <f>SUM(AC338,AE338,AG338,AI338,AK338,AM338,AO338)</f>
        <v>0</v>
      </c>
      <c r="AR338" s="550" t="s">
        <v>71</v>
      </c>
    </row>
    <row r="339" spans="1:44" ht="27" customHeight="1" x14ac:dyDescent="0.15">
      <c r="A339" s="1020"/>
      <c r="B339" s="1123"/>
      <c r="C339" s="712" t="s">
        <v>202</v>
      </c>
      <c r="D339" s="713"/>
      <c r="E339" s="713"/>
      <c r="F339" s="107"/>
      <c r="G339" s="108" t="s">
        <v>0</v>
      </c>
      <c r="H339" s="109"/>
      <c r="I339" s="108" t="s">
        <v>0</v>
      </c>
      <c r="J339" s="107"/>
      <c r="K339" s="108" t="s">
        <v>0</v>
      </c>
      <c r="L339" s="109"/>
      <c r="M339" s="108" t="s">
        <v>0</v>
      </c>
      <c r="N339" s="107"/>
      <c r="O339" s="108" t="s">
        <v>0</v>
      </c>
      <c r="P339" s="109"/>
      <c r="Q339" s="108" t="s">
        <v>0</v>
      </c>
      <c r="R339" s="109"/>
      <c r="S339" s="110" t="s">
        <v>0</v>
      </c>
      <c r="T339" s="111">
        <f t="shared" ref="T339:T344" si="5">SUM(F339,H339,J339,L339,N339,P339,R339)</f>
        <v>0</v>
      </c>
      <c r="U339" s="119" t="s">
        <v>489</v>
      </c>
      <c r="W339" s="377" t="s">
        <v>1674</v>
      </c>
      <c r="X339" s="1436"/>
      <c r="Y339" s="1450"/>
      <c r="Z339" s="1460" t="s">
        <v>202</v>
      </c>
      <c r="AA339" s="1461"/>
      <c r="AB339" s="1461"/>
      <c r="AC339" s="545">
        <f>COUNTIFS(集計アシストシート!$D$9:$D$208,"非正規",集計アシストシート!$E$9:$E$208,"男",集計アシストシート!$G$9:$G$208,"&gt;=20",集計アシストシート!$G$9:$G$208,"&lt;30",集計アシストシート!$J$9:$J$208,"&lt;12",集計アシストシート!$I$9:$I$208,"")</f>
        <v>0</v>
      </c>
      <c r="AD339" s="551" t="s">
        <v>0</v>
      </c>
      <c r="AE339" s="545">
        <f>COUNTIFS(集計アシストシート!$D$9:$D$208,"非正規",集計アシストシート!$E$9:$E$208,"男",集計アシストシート!$G$9:$G$208,"&gt;=20",集計アシストシート!$G$9:$G$208,"&lt;30",集計アシストシート!$J$9:$J$208,"&gt;=12",集計アシストシート!$J$9:$J$208,"&lt;24",集計アシストシート!$I$9:$I$208,"")</f>
        <v>0</v>
      </c>
      <c r="AF339" s="551" t="s">
        <v>0</v>
      </c>
      <c r="AG339" s="545">
        <f>COUNTIFS(集計アシストシート!$D$9:$D$208,"非正規",集計アシストシート!$E$9:$E$208,"男",集計アシストシート!$G$9:$G$208,"&gt;=20",集計アシストシート!$G$9:$G$208,"&lt;30",集計アシストシート!$J$9:$J$208,"&gt;=24",集計アシストシート!$J$9:$J$208,"&lt;36",集計アシストシート!$I$9:$I$208,"")</f>
        <v>0</v>
      </c>
      <c r="AH339" s="551" t="s">
        <v>0</v>
      </c>
      <c r="AI339" s="545">
        <f>COUNTIFS(集計アシストシート!$D$9:$D$208,"非正規",集計アシストシート!$E$9:$E$208,"男",集計アシストシート!$G$9:$G$208,"&gt;=20",集計アシストシート!$G$9:$G$208,"&lt;30",集計アシストシート!$J$9:$J$208,"&gt;=36",集計アシストシート!$J$9:$J$208,"&lt;48",集計アシストシート!$I$9:$I$208,"")</f>
        <v>0</v>
      </c>
      <c r="AJ339" s="551" t="s">
        <v>0</v>
      </c>
      <c r="AK339" s="545">
        <f>COUNTIFS(集計アシストシート!$D$9:$D$208,"非正規",集計アシストシート!$E$9:$E$208,"男",集計アシストシート!$G$9:$G$208,"&gt;=20",集計アシストシート!$G$9:$G$208,"&lt;30",集計アシストシート!$J$9:$J$208,"&gt;=48",集計アシストシート!$J$9:$J$208,"&lt;60",集計アシストシート!$I$9:$I$208,"")</f>
        <v>0</v>
      </c>
      <c r="AL339" s="551" t="s">
        <v>0</v>
      </c>
      <c r="AM339" s="545">
        <f>COUNTIFS(集計アシストシート!$D$9:$D$208,"非正規",集計アシストシート!$E$9:$E$208,"男",集計アシストシート!$G$9:$G$208,"&gt;=20",集計アシストシート!$G$9:$G$208,"&lt;30",集計アシストシート!$J$9:$J$208,"&gt;=60",集計アシストシート!$J$9:$J$208,"&lt;120",集計アシストシート!$I$9:$I$208,"")</f>
        <v>0</v>
      </c>
      <c r="AN339" s="551" t="s">
        <v>0</v>
      </c>
      <c r="AO339" s="545">
        <f>COUNTIFS(集計アシストシート!$D$9:$D$208,"非正規",集計アシストシート!$E$9:$E$208,"男",集計アシストシート!$G$9:$G$208,"&gt;=20",集計アシストシート!$G$9:$G$208,"&lt;30",集計アシストシート!$J$9:$J$208,"&gt;=120",集計アシストシート!$I$9:$I$208,"")</f>
        <v>0</v>
      </c>
      <c r="AP339" s="552" t="s">
        <v>0</v>
      </c>
      <c r="AQ339" s="553">
        <f t="shared" ref="AQ339:AQ344" si="6">SUM(AC339,AE339,AG339,AI339,AK339,AM339,AO339)</f>
        <v>0</v>
      </c>
      <c r="AR339" s="554" t="s">
        <v>71</v>
      </c>
    </row>
    <row r="340" spans="1:44" ht="27" customHeight="1" x14ac:dyDescent="0.15">
      <c r="A340" s="1020"/>
      <c r="B340" s="1123"/>
      <c r="C340" s="712" t="s">
        <v>203</v>
      </c>
      <c r="D340" s="713"/>
      <c r="E340" s="713"/>
      <c r="F340" s="107"/>
      <c r="G340" s="108" t="s">
        <v>0</v>
      </c>
      <c r="H340" s="109"/>
      <c r="I340" s="108" t="s">
        <v>0</v>
      </c>
      <c r="J340" s="107"/>
      <c r="K340" s="108" t="s">
        <v>0</v>
      </c>
      <c r="L340" s="109"/>
      <c r="M340" s="108" t="s">
        <v>0</v>
      </c>
      <c r="N340" s="107"/>
      <c r="O340" s="108" t="s">
        <v>0</v>
      </c>
      <c r="P340" s="109"/>
      <c r="Q340" s="108" t="s">
        <v>0</v>
      </c>
      <c r="R340" s="109"/>
      <c r="S340" s="110" t="s">
        <v>0</v>
      </c>
      <c r="T340" s="111">
        <f t="shared" si="5"/>
        <v>0</v>
      </c>
      <c r="U340" s="119" t="s">
        <v>489</v>
      </c>
      <c r="W340" s="377" t="s">
        <v>1674</v>
      </c>
      <c r="X340" s="1436"/>
      <c r="Y340" s="1450"/>
      <c r="Z340" s="1460" t="s">
        <v>203</v>
      </c>
      <c r="AA340" s="1461"/>
      <c r="AB340" s="1461"/>
      <c r="AC340" s="545">
        <f>COUNTIFS(集計アシストシート!$D$9:$D$208,"非正規",集計アシストシート!$E$9:$E$208,"男",集計アシストシート!$G$9:$G$208,"&gt;=30",集計アシストシート!$G$9:$G$208,"&lt;40",集計アシストシート!$J$9:$J$208,"&lt;12",集計アシストシート!$I$9:$I$208,"")</f>
        <v>0</v>
      </c>
      <c r="AD340" s="551" t="s">
        <v>0</v>
      </c>
      <c r="AE340" s="545">
        <f>COUNTIFS(集計アシストシート!$D$9:$D$208,"非正規",集計アシストシート!$E$9:$E$208,"男",集計アシストシート!$G$9:$G$208,"&gt;=30",集計アシストシート!$G$9:$G$208,"&lt;40",集計アシストシート!$J$9:$J$208,"&gt;=12",集計アシストシート!$J$9:$J$208,"&lt;24",集計アシストシート!$I$9:$I$208,"")</f>
        <v>0</v>
      </c>
      <c r="AF340" s="551" t="s">
        <v>0</v>
      </c>
      <c r="AG340" s="545">
        <f>COUNTIFS(集計アシストシート!$D$9:$D$208,"非正規",集計アシストシート!$E$9:$E$208,"男",集計アシストシート!$G$9:$G$208,"&gt;=30",集計アシストシート!$G$9:$G$208,"&lt;40",集計アシストシート!$J$9:$J$208,"&gt;=24",集計アシストシート!$J$9:$J$208,"&lt;36",集計アシストシート!$I$9:$I$208,"")</f>
        <v>0</v>
      </c>
      <c r="AH340" s="551" t="s">
        <v>0</v>
      </c>
      <c r="AI340" s="545">
        <f>COUNTIFS(集計アシストシート!$D$9:$D$208,"非正規",集計アシストシート!$E$9:$E$208,"男",集計アシストシート!$G$9:$G$208,"&gt;=30",集計アシストシート!$G$9:$G$208,"&lt;40",集計アシストシート!$J$9:$J$208,"&gt;=36",集計アシストシート!$J$9:$J$208,"&lt;48",集計アシストシート!$I$9:$I$208,"")</f>
        <v>0</v>
      </c>
      <c r="AJ340" s="551" t="s">
        <v>0</v>
      </c>
      <c r="AK340" s="545">
        <f>COUNTIFS(集計アシストシート!$D$9:$D$208,"非正規",集計アシストシート!$E$9:$E$208,"男",集計アシストシート!$G$9:$G$208,"&gt;=30",集計アシストシート!$G$9:$G$208,"&lt;40",集計アシストシート!$J$9:$J$208,"&gt;=48",集計アシストシート!$J$9:$J$208,"&lt;60",集計アシストシート!$I$9:$I$208,"")</f>
        <v>0</v>
      </c>
      <c r="AL340" s="551" t="s">
        <v>0</v>
      </c>
      <c r="AM340" s="545">
        <f>COUNTIFS(集計アシストシート!$D$9:$D$208,"非正規",集計アシストシート!$E$9:$E$208,"男",集計アシストシート!$G$9:$G$208,"&gt;=30",集計アシストシート!$G$9:$G$208,"&lt;40",集計アシストシート!$J$9:$J$208,"&gt;=60",集計アシストシート!$J$9:$J$208,"&lt;120",集計アシストシート!$I$9:$I$208,"")</f>
        <v>0</v>
      </c>
      <c r="AN340" s="551" t="s">
        <v>0</v>
      </c>
      <c r="AO340" s="545">
        <f>COUNTIFS(集計アシストシート!$D$9:$D$208,"非正規",集計アシストシート!$E$9:$E$208,"男",集計アシストシート!$G$9:$G$208,"&gt;=30",集計アシストシート!$G$9:$G$208,"&lt;40",集計アシストシート!$J$9:$J$208,"&gt;=120",集計アシストシート!$I$9:$I$208,"")</f>
        <v>0</v>
      </c>
      <c r="AP340" s="552" t="s">
        <v>0</v>
      </c>
      <c r="AQ340" s="553">
        <f t="shared" si="6"/>
        <v>0</v>
      </c>
      <c r="AR340" s="554" t="s">
        <v>71</v>
      </c>
    </row>
    <row r="341" spans="1:44" ht="27" customHeight="1" x14ac:dyDescent="0.15">
      <c r="A341" s="1020"/>
      <c r="B341" s="1123"/>
      <c r="C341" s="712" t="s">
        <v>204</v>
      </c>
      <c r="D341" s="713"/>
      <c r="E341" s="713"/>
      <c r="F341" s="107"/>
      <c r="G341" s="108" t="s">
        <v>0</v>
      </c>
      <c r="H341" s="109"/>
      <c r="I341" s="108" t="s">
        <v>0</v>
      </c>
      <c r="J341" s="107"/>
      <c r="K341" s="108" t="s">
        <v>0</v>
      </c>
      <c r="L341" s="109"/>
      <c r="M341" s="108" t="s">
        <v>0</v>
      </c>
      <c r="N341" s="107"/>
      <c r="O341" s="108" t="s">
        <v>0</v>
      </c>
      <c r="P341" s="109"/>
      <c r="Q341" s="108" t="s">
        <v>0</v>
      </c>
      <c r="R341" s="109"/>
      <c r="S341" s="110" t="s">
        <v>0</v>
      </c>
      <c r="T341" s="111">
        <f t="shared" si="5"/>
        <v>0</v>
      </c>
      <c r="U341" s="119" t="s">
        <v>489</v>
      </c>
      <c r="W341" s="377" t="s">
        <v>1674</v>
      </c>
      <c r="X341" s="1436"/>
      <c r="Y341" s="1450"/>
      <c r="Z341" s="1460" t="s">
        <v>204</v>
      </c>
      <c r="AA341" s="1461"/>
      <c r="AB341" s="1461"/>
      <c r="AC341" s="545">
        <f>COUNTIFS(集計アシストシート!$D$9:$D$208,"非正規",集計アシストシート!$E$9:$E$208,"男",集計アシストシート!$G$9:$G$208,"&gt;=40",集計アシストシート!$G$9:$G$208,"&lt;50",集計アシストシート!$J$9:$J$208,"&lt;12",集計アシストシート!$I$9:$I$208,"")</f>
        <v>0</v>
      </c>
      <c r="AD341" s="551" t="s">
        <v>0</v>
      </c>
      <c r="AE341" s="545">
        <f>COUNTIFS(集計アシストシート!$D$9:$D$208,"非正規",集計アシストシート!$E$9:$E$208,"男",集計アシストシート!$G$9:$G$208,"&gt;=40",集計アシストシート!$G$9:$G$208,"&lt;50",集計アシストシート!$J$9:$J$208,"&gt;=12",集計アシストシート!$J$9:$J$208,"&lt;24",集計アシストシート!$I$9:$I$208,"")</f>
        <v>0</v>
      </c>
      <c r="AF341" s="551" t="s">
        <v>0</v>
      </c>
      <c r="AG341" s="545">
        <f>COUNTIFS(集計アシストシート!$D$9:$D$208,"非正規",集計アシストシート!$E$9:$E$208,"男",集計アシストシート!$G$9:$G$208,"&gt;=40",集計アシストシート!$G$9:$G$208,"&lt;50",集計アシストシート!$J$9:$J$208,"&gt;=24",集計アシストシート!$J$9:$J$208,"&lt;36",集計アシストシート!$I$9:$I$208,"")</f>
        <v>0</v>
      </c>
      <c r="AH341" s="551" t="s">
        <v>0</v>
      </c>
      <c r="AI341" s="545">
        <f>COUNTIFS(集計アシストシート!$D$9:$D$208,"非正規",集計アシストシート!$E$9:$E$208,"男",集計アシストシート!$G$9:$G$208,"&gt;=40",集計アシストシート!$G$9:$G$208,"&lt;50",集計アシストシート!$J$9:$J$208,"&gt;=36",集計アシストシート!$J$9:$J$208,"&lt;48",集計アシストシート!$I$9:$I$208,"")</f>
        <v>0</v>
      </c>
      <c r="AJ341" s="551" t="s">
        <v>0</v>
      </c>
      <c r="AK341" s="545">
        <f>COUNTIFS(集計アシストシート!$D$9:$D$208,"非正規",集計アシストシート!$E$9:$E$208,"男",集計アシストシート!$G$9:$G$208,"&gt;=40",集計アシストシート!$G$9:$G$208,"&lt;50",集計アシストシート!$J$9:$J$208,"&gt;=48",集計アシストシート!$J$9:$J$208,"&lt;60",集計アシストシート!$I$9:$I$208,"")</f>
        <v>0</v>
      </c>
      <c r="AL341" s="551" t="s">
        <v>0</v>
      </c>
      <c r="AM341" s="545">
        <f>COUNTIFS(集計アシストシート!$D$9:$D$208,"非正規",集計アシストシート!$E$9:$E$208,"男",集計アシストシート!$G$9:$G$208,"&gt;=40",集計アシストシート!$G$9:$G$208,"&lt;50",集計アシストシート!$J$9:$J$208,"&gt;=60",集計アシストシート!$J$9:$J$208,"&lt;120",集計アシストシート!$I$9:$I$208,"")</f>
        <v>0</v>
      </c>
      <c r="AN341" s="551" t="s">
        <v>0</v>
      </c>
      <c r="AO341" s="545">
        <f>COUNTIFS(集計アシストシート!$D$9:$D$208,"非正規",集計アシストシート!$E$9:$E$208,"男",集計アシストシート!$G$9:$G$208,"&gt;=40",集計アシストシート!$G$9:$G$208,"&lt;50",集計アシストシート!$J$9:$J$208,"&gt;=120",集計アシストシート!$I$9:$I$208,"")</f>
        <v>0</v>
      </c>
      <c r="AP341" s="552" t="s">
        <v>0</v>
      </c>
      <c r="AQ341" s="553">
        <f t="shared" si="6"/>
        <v>0</v>
      </c>
      <c r="AR341" s="554" t="s">
        <v>71</v>
      </c>
    </row>
    <row r="342" spans="1:44" ht="27" customHeight="1" x14ac:dyDescent="0.15">
      <c r="A342" s="1020"/>
      <c r="B342" s="1123"/>
      <c r="C342" s="712" t="s">
        <v>205</v>
      </c>
      <c r="D342" s="713"/>
      <c r="E342" s="713"/>
      <c r="F342" s="107"/>
      <c r="G342" s="108" t="s">
        <v>0</v>
      </c>
      <c r="H342" s="109"/>
      <c r="I342" s="108" t="s">
        <v>0</v>
      </c>
      <c r="J342" s="107"/>
      <c r="K342" s="108" t="s">
        <v>0</v>
      </c>
      <c r="L342" s="109"/>
      <c r="M342" s="108" t="s">
        <v>0</v>
      </c>
      <c r="N342" s="107"/>
      <c r="O342" s="108" t="s">
        <v>0</v>
      </c>
      <c r="P342" s="109"/>
      <c r="Q342" s="108" t="s">
        <v>0</v>
      </c>
      <c r="R342" s="109"/>
      <c r="S342" s="110" t="s">
        <v>0</v>
      </c>
      <c r="T342" s="111">
        <f t="shared" si="5"/>
        <v>0</v>
      </c>
      <c r="U342" s="119" t="s">
        <v>489</v>
      </c>
      <c r="W342" s="377" t="s">
        <v>1674</v>
      </c>
      <c r="X342" s="1436"/>
      <c r="Y342" s="1450"/>
      <c r="Z342" s="1460" t="s">
        <v>205</v>
      </c>
      <c r="AA342" s="1461"/>
      <c r="AB342" s="1461"/>
      <c r="AC342" s="545">
        <f>COUNTIFS(集計アシストシート!$D$9:$D$208,"非正規",集計アシストシート!$E$9:$E$208,"男",集計アシストシート!$G$9:$G$208,"&gt;=50",集計アシストシート!$G$9:$G$208,"&lt;60",集計アシストシート!$J$9:$J$208,"&lt;12",集計アシストシート!$I$9:$I$208,"")</f>
        <v>0</v>
      </c>
      <c r="AD342" s="551" t="s">
        <v>0</v>
      </c>
      <c r="AE342" s="545">
        <f>COUNTIFS(集計アシストシート!$D$9:$D$208,"非正規",集計アシストシート!$E$9:$E$208,"男",集計アシストシート!$G$9:$G$208,"&gt;=50",集計アシストシート!$G$9:$G$208,"&lt;60",集計アシストシート!$J$9:$J$208,"&gt;=12",集計アシストシート!$J$9:$J$208,"&lt;24",集計アシストシート!$I$9:$I$208,"")</f>
        <v>0</v>
      </c>
      <c r="AF342" s="551" t="s">
        <v>0</v>
      </c>
      <c r="AG342" s="545">
        <f>COUNTIFS(集計アシストシート!$D$9:$D$208,"非正規",集計アシストシート!$E$9:$E$208,"男",集計アシストシート!$G$9:$G$208,"&gt;=50",集計アシストシート!$G$9:$G$208,"&lt;60",集計アシストシート!$J$9:$J$208,"&gt;=24",集計アシストシート!$J$9:$J$208,"&lt;36",集計アシストシート!$I$9:$I$208,"")</f>
        <v>0</v>
      </c>
      <c r="AH342" s="551" t="s">
        <v>0</v>
      </c>
      <c r="AI342" s="545">
        <f>COUNTIFS(集計アシストシート!$D$9:$D$208,"非正規",集計アシストシート!$E$9:$E$208,"男",集計アシストシート!$G$9:$G$208,"&gt;=50",集計アシストシート!$G$9:$G$208,"&lt;60",集計アシストシート!$J$9:$J$208,"&gt;=36",集計アシストシート!$J$9:$J$208,"&lt;48",集計アシストシート!$I$9:$I$208,"")</f>
        <v>0</v>
      </c>
      <c r="AJ342" s="551" t="s">
        <v>0</v>
      </c>
      <c r="AK342" s="545">
        <f>COUNTIFS(集計アシストシート!$D$9:$D$208,"非正規",集計アシストシート!$E$9:$E$208,"男",集計アシストシート!$G$9:$G$208,"&gt;=50",集計アシストシート!$G$9:$G$208,"&lt;60",集計アシストシート!$J$9:$J$208,"&gt;=48",集計アシストシート!$J$9:$J$208,"&lt;60",集計アシストシート!$I$9:$I$208,"")</f>
        <v>0</v>
      </c>
      <c r="AL342" s="551" t="s">
        <v>0</v>
      </c>
      <c r="AM342" s="545">
        <f>COUNTIFS(集計アシストシート!$D$9:$D$208,"非正規",集計アシストシート!$E$9:$E$208,"男",集計アシストシート!$G$9:$G$208,"&gt;=50",集計アシストシート!$G$9:$G$208,"&lt;60",集計アシストシート!$J$9:$J$208,"&gt;=60",集計アシストシート!$J$9:$J$208,"&lt;120",集計アシストシート!$I$9:$I$208,"")</f>
        <v>0</v>
      </c>
      <c r="AN342" s="551" t="s">
        <v>0</v>
      </c>
      <c r="AO342" s="545">
        <f>COUNTIFS(集計アシストシート!$D$9:$D$208,"非正規",集計アシストシート!$E$9:$E$208,"男",集計アシストシート!$G$9:$G$208,"&gt;=50",集計アシストシート!$G$9:$G$208,"&lt;60",集計アシストシート!$J$9:$J$208,"&gt;=120",集計アシストシート!$I$9:$I$208,"")</f>
        <v>0</v>
      </c>
      <c r="AP342" s="552" t="s">
        <v>0</v>
      </c>
      <c r="AQ342" s="553">
        <f t="shared" si="6"/>
        <v>0</v>
      </c>
      <c r="AR342" s="554" t="s">
        <v>71</v>
      </c>
    </row>
    <row r="343" spans="1:44" ht="27" customHeight="1" thickBot="1" x14ac:dyDescent="0.2">
      <c r="A343" s="1020"/>
      <c r="B343" s="1123"/>
      <c r="C343" s="836" t="s">
        <v>206</v>
      </c>
      <c r="D343" s="837"/>
      <c r="E343" s="837"/>
      <c r="F343" s="112"/>
      <c r="G343" s="113" t="s">
        <v>0</v>
      </c>
      <c r="H343" s="114"/>
      <c r="I343" s="113" t="s">
        <v>0</v>
      </c>
      <c r="J343" s="112"/>
      <c r="K343" s="113" t="s">
        <v>0</v>
      </c>
      <c r="L343" s="114"/>
      <c r="M343" s="113" t="s">
        <v>0</v>
      </c>
      <c r="N343" s="112"/>
      <c r="O343" s="113" t="s">
        <v>0</v>
      </c>
      <c r="P343" s="114"/>
      <c r="Q343" s="113" t="s">
        <v>0</v>
      </c>
      <c r="R343" s="114"/>
      <c r="S343" s="115" t="s">
        <v>0</v>
      </c>
      <c r="T343" s="116">
        <f t="shared" si="5"/>
        <v>0</v>
      </c>
      <c r="U343" s="120" t="s">
        <v>489</v>
      </c>
      <c r="W343" s="377" t="s">
        <v>1674</v>
      </c>
      <c r="X343" s="1436"/>
      <c r="Y343" s="1450"/>
      <c r="Z343" s="1462" t="s">
        <v>206</v>
      </c>
      <c r="AA343" s="1463"/>
      <c r="AB343" s="1463"/>
      <c r="AC343" s="545">
        <f>COUNTIFS(集計アシストシート!$D$9:$D$208,"非正規",集計アシストシート!$E$9:$E$208,"男",集計アシストシート!$G$9:$G$208,"&gt;=60",集計アシストシート!$J$9:$J$208,"&lt;12",集計アシストシート!$I$9:$I$208,"")</f>
        <v>0</v>
      </c>
      <c r="AD343" s="555" t="s">
        <v>0</v>
      </c>
      <c r="AE343" s="545">
        <f>COUNTIFS(集計アシストシート!$D$9:$D$208,"非正規",集計アシストシート!$E$9:$E$208,"男",集計アシストシート!$G$9:$G$208,"&gt;=60",集計アシストシート!$J$9:$J$208,"&gt;=12",集計アシストシート!$J$9:$J$208,"&lt;24",集計アシストシート!$I$9:$I$208,"")</f>
        <v>0</v>
      </c>
      <c r="AF343" s="555" t="s">
        <v>0</v>
      </c>
      <c r="AG343" s="545">
        <f>COUNTIFS(集計アシストシート!$D$9:$D$208,"非正規",集計アシストシート!$E$9:$E$208,"男",集計アシストシート!$G$9:$G$208,"&gt;=60",集計アシストシート!$J$9:$J$208,"&gt;=24",集計アシストシート!$J$9:$J$208,"&lt;36",集計アシストシート!$I$9:$I$208,"")</f>
        <v>0</v>
      </c>
      <c r="AH343" s="555" t="s">
        <v>0</v>
      </c>
      <c r="AI343" s="545">
        <f>COUNTIFS(集計アシストシート!$D$9:$D$208,"非正規",集計アシストシート!$E$9:$E$208,"男",集計アシストシート!$G$9:$G$208,"&gt;=60",集計アシストシート!$J$9:$J$208,"&gt;=36",集計アシストシート!$J$9:$J$208,"&lt;48",集計アシストシート!$I$9:$I$208,"")</f>
        <v>0</v>
      </c>
      <c r="AJ343" s="555" t="s">
        <v>0</v>
      </c>
      <c r="AK343" s="545">
        <f>COUNTIFS(集計アシストシート!$D$9:$D$208,"非正規",集計アシストシート!$E$9:$E$208,"男",集計アシストシート!$G$9:$G$208,"&gt;=60",集計アシストシート!$J$9:$J$208,"&gt;=48",集計アシストシート!$J$9:$J$208,"&lt;60",集計アシストシート!$I$9:$I$208,"")</f>
        <v>0</v>
      </c>
      <c r="AL343" s="555" t="s">
        <v>0</v>
      </c>
      <c r="AM343" s="545">
        <f>COUNTIFS(集計アシストシート!$D$9:$D$208,"非正規",集計アシストシート!$E$9:$E$208,"男",集計アシストシート!$G$9:$G$208,"&gt;=60",集計アシストシート!$J$9:$J$208,"&gt;=60",集計アシストシート!$J$9:$J$208,"&lt;120",集計アシストシート!$I$9:$I$208,"")</f>
        <v>0</v>
      </c>
      <c r="AN343" s="555" t="s">
        <v>0</v>
      </c>
      <c r="AO343" s="545">
        <f>COUNTIFS(集計アシストシート!$D$9:$D$208,"非正規",集計アシストシート!$E$9:$E$208,"男",集計アシストシート!$G$9:$G$208,"&gt;=60",集計アシストシート!$J$9:$J$208,"&gt;=120",集計アシストシート!$I$9:$I$208,"")</f>
        <v>0</v>
      </c>
      <c r="AP343" s="556" t="s">
        <v>0</v>
      </c>
      <c r="AQ343" s="557">
        <f t="shared" si="6"/>
        <v>0</v>
      </c>
      <c r="AR343" s="558" t="s">
        <v>71</v>
      </c>
    </row>
    <row r="344" spans="1:44" ht="27" customHeight="1" thickTop="1" x14ac:dyDescent="0.15">
      <c r="A344" s="1021"/>
      <c r="B344" s="1124"/>
      <c r="C344" s="838" t="s">
        <v>410</v>
      </c>
      <c r="D344" s="839"/>
      <c r="E344" s="839"/>
      <c r="F344" s="121" t="str">
        <f>IF(F338+F339+F340+F341+F342+F343=0,"",F338+F339+F340+F341+F342+F343)</f>
        <v/>
      </c>
      <c r="G344" s="121" t="s">
        <v>0</v>
      </c>
      <c r="H344" s="501" t="str">
        <f>IF(H338+H339+H340+H341+H342+H343=0,"",H338+H339+H340+H341+H342+H343)</f>
        <v/>
      </c>
      <c r="I344" s="122" t="s">
        <v>0</v>
      </c>
      <c r="J344" s="121" t="str">
        <f>IF(J338+J339+J340+J341+J342+J343=0,"",J338+J339+J340+J341+J342+J343)</f>
        <v/>
      </c>
      <c r="K344" s="121" t="s">
        <v>0</v>
      </c>
      <c r="L344" s="501" t="str">
        <f>IF(L338+L339+L340+L341+L342+L343=0,"",L338+L339+L340+L341+L342+L343)</f>
        <v/>
      </c>
      <c r="M344" s="122" t="s">
        <v>0</v>
      </c>
      <c r="N344" s="121" t="str">
        <f>IF(N338+N339+N340+N341+N342+N343=0,"",N338+N339+N340+N341+N342+N343)</f>
        <v/>
      </c>
      <c r="O344" s="121" t="s">
        <v>0</v>
      </c>
      <c r="P344" s="501" t="str">
        <f>IF(P338+P339+P340+P341+P342+P343=0,"",P338+P339+P340+P341+P342+P343)</f>
        <v/>
      </c>
      <c r="Q344" s="122" t="s">
        <v>0</v>
      </c>
      <c r="R344" s="501" t="str">
        <f>IF(R338+R339+R340+R341+R342+R343=0,"",R338+R339+R340+R341+R342+R343)</f>
        <v/>
      </c>
      <c r="S344" s="121" t="s">
        <v>0</v>
      </c>
      <c r="T344" s="123">
        <f t="shared" si="5"/>
        <v>0</v>
      </c>
      <c r="U344" s="124" t="s">
        <v>489</v>
      </c>
      <c r="W344" s="377" t="s">
        <v>1674</v>
      </c>
      <c r="X344" s="1437"/>
      <c r="Y344" s="1451"/>
      <c r="Z344" s="1464" t="s">
        <v>410</v>
      </c>
      <c r="AA344" s="1465"/>
      <c r="AB344" s="1465"/>
      <c r="AC344" s="559" t="str">
        <f>IF(AC338+AC339+AC340+AC341+AC342+AC343=0,"",AC338+AC339+AC340+AC341+AC342+AC343)</f>
        <v/>
      </c>
      <c r="AD344" s="559" t="s">
        <v>0</v>
      </c>
      <c r="AE344" s="560" t="str">
        <f>IF(AE338+AE339+AE340+AE341+AE342+AE343=0,"",AE338+AE339+AE340+AE341+AE342+AE343)</f>
        <v/>
      </c>
      <c r="AF344" s="561" t="s">
        <v>0</v>
      </c>
      <c r="AG344" s="559" t="str">
        <f>IF(AG338+AG339+AG340+AG341+AG342+AG343=0,"",AG338+AG339+AG340+AG341+AG342+AG343)</f>
        <v/>
      </c>
      <c r="AH344" s="559" t="s">
        <v>0</v>
      </c>
      <c r="AI344" s="560" t="str">
        <f>IF(AI338+AI339+AI340+AI341+AI342+AI343=0,"",AI338+AI339+AI340+AI341+AI342+AI343)</f>
        <v/>
      </c>
      <c r="AJ344" s="561" t="s">
        <v>0</v>
      </c>
      <c r="AK344" s="559" t="str">
        <f>IF(AK338+AK339+AK340+AK341+AK342+AK343=0,"",AK338+AK339+AK340+AK341+AK342+AK343)</f>
        <v/>
      </c>
      <c r="AL344" s="559" t="s">
        <v>0</v>
      </c>
      <c r="AM344" s="560" t="str">
        <f>IF(AM338+AM339+AM340+AM341+AM342+AM343=0,"",AM338+AM339+AM340+AM341+AM342+AM343)</f>
        <v/>
      </c>
      <c r="AN344" s="561" t="s">
        <v>0</v>
      </c>
      <c r="AO344" s="560" t="str">
        <f>IF(AO338+AO339+AO340+AO341+AO342+AO343=0,"",AO338+AO339+AO340+AO341+AO342+AO343)</f>
        <v/>
      </c>
      <c r="AP344" s="559" t="s">
        <v>0</v>
      </c>
      <c r="AQ344" s="562">
        <f t="shared" si="6"/>
        <v>0</v>
      </c>
      <c r="AR344" s="563" t="s">
        <v>71</v>
      </c>
    </row>
    <row r="345" spans="1:44" x14ac:dyDescent="0.15">
      <c r="A345" s="55"/>
      <c r="B345" s="55"/>
      <c r="C345" s="55"/>
      <c r="O345" s="55"/>
      <c r="P345" s="55"/>
      <c r="Q345" s="55"/>
      <c r="R345" s="55"/>
      <c r="S345" s="55"/>
      <c r="W345" s="377" t="s">
        <v>1674</v>
      </c>
      <c r="X345" s="566"/>
      <c r="Y345" s="566"/>
      <c r="Z345" s="566"/>
      <c r="AA345" s="566"/>
      <c r="AB345" s="566"/>
      <c r="AC345" s="566"/>
      <c r="AD345" s="566"/>
      <c r="AE345" s="566"/>
      <c r="AF345" s="566"/>
      <c r="AG345" s="566"/>
      <c r="AH345" s="566"/>
      <c r="AI345" s="566"/>
      <c r="AJ345" s="566"/>
      <c r="AK345" s="566"/>
      <c r="AL345" s="566"/>
      <c r="AM345" s="566"/>
      <c r="AN345" s="566"/>
      <c r="AO345" s="566"/>
      <c r="AP345" s="566"/>
      <c r="AQ345" s="567"/>
      <c r="AR345" s="567"/>
    </row>
    <row r="346" spans="1:44" ht="27" customHeight="1" x14ac:dyDescent="0.15">
      <c r="A346" s="1019" t="s">
        <v>491</v>
      </c>
      <c r="B346" s="1122" t="s">
        <v>493</v>
      </c>
      <c r="C346" s="751" t="s">
        <v>496</v>
      </c>
      <c r="D346" s="1023"/>
      <c r="E346" s="1023"/>
      <c r="F346" s="750" t="s">
        <v>483</v>
      </c>
      <c r="G346" s="751"/>
      <c r="H346" s="750" t="s">
        <v>484</v>
      </c>
      <c r="I346" s="751"/>
      <c r="J346" s="1143" t="s">
        <v>485</v>
      </c>
      <c r="K346" s="751"/>
      <c r="L346" s="750" t="s">
        <v>486</v>
      </c>
      <c r="M346" s="751"/>
      <c r="N346" s="1143" t="s">
        <v>487</v>
      </c>
      <c r="O346" s="751"/>
      <c r="P346" s="1023" t="s">
        <v>234</v>
      </c>
      <c r="Q346" s="1023"/>
      <c r="R346" s="1023" t="s">
        <v>488</v>
      </c>
      <c r="S346" s="750"/>
      <c r="T346" s="784" t="s">
        <v>467</v>
      </c>
      <c r="U346" s="731"/>
      <c r="W346" s="377" t="s">
        <v>1674</v>
      </c>
      <c r="X346" s="1435" t="s">
        <v>491</v>
      </c>
      <c r="Y346" s="1449" t="s">
        <v>493</v>
      </c>
      <c r="Z346" s="1452" t="s">
        <v>496</v>
      </c>
      <c r="AA346" s="1453"/>
      <c r="AB346" s="1453"/>
      <c r="AC346" s="1454" t="s">
        <v>115</v>
      </c>
      <c r="AD346" s="1452"/>
      <c r="AE346" s="1454" t="s">
        <v>484</v>
      </c>
      <c r="AF346" s="1452"/>
      <c r="AG346" s="1455" t="s">
        <v>485</v>
      </c>
      <c r="AH346" s="1452"/>
      <c r="AI346" s="1454" t="s">
        <v>486</v>
      </c>
      <c r="AJ346" s="1452"/>
      <c r="AK346" s="1455" t="s">
        <v>487</v>
      </c>
      <c r="AL346" s="1452"/>
      <c r="AM346" s="1453" t="s">
        <v>234</v>
      </c>
      <c r="AN346" s="1453"/>
      <c r="AO346" s="1453" t="s">
        <v>163</v>
      </c>
      <c r="AP346" s="1454"/>
      <c r="AQ346" s="1485" t="s">
        <v>410</v>
      </c>
      <c r="AR346" s="1486"/>
    </row>
    <row r="347" spans="1:44" ht="27" customHeight="1" x14ac:dyDescent="0.15">
      <c r="A347" s="1020"/>
      <c r="B347" s="1123"/>
      <c r="C347" s="782" t="s">
        <v>49</v>
      </c>
      <c r="D347" s="783"/>
      <c r="E347" s="783"/>
      <c r="F347" s="100"/>
      <c r="G347" s="101" t="s">
        <v>0</v>
      </c>
      <c r="H347" s="102"/>
      <c r="I347" s="101" t="s">
        <v>0</v>
      </c>
      <c r="J347" s="100"/>
      <c r="K347" s="101" t="s">
        <v>0</v>
      </c>
      <c r="L347" s="102"/>
      <c r="M347" s="101" t="s">
        <v>0</v>
      </c>
      <c r="N347" s="100"/>
      <c r="O347" s="101" t="s">
        <v>0</v>
      </c>
      <c r="P347" s="103"/>
      <c r="Q347" s="104" t="s">
        <v>0</v>
      </c>
      <c r="R347" s="103"/>
      <c r="S347" s="105" t="s">
        <v>0</v>
      </c>
      <c r="T347" s="106">
        <f>SUM(F347,H347,J347,L347,N347,P347,R347)</f>
        <v>0</v>
      </c>
      <c r="U347" s="118" t="s">
        <v>489</v>
      </c>
      <c r="W347" s="377" t="s">
        <v>1674</v>
      </c>
      <c r="X347" s="1436"/>
      <c r="Y347" s="1450"/>
      <c r="Z347" s="1438" t="s">
        <v>49</v>
      </c>
      <c r="AA347" s="1439"/>
      <c r="AB347" s="1439"/>
      <c r="AC347" s="545">
        <f>COUNTIFS(集計アシストシート!$D$9:$D$208,"正規",集計アシストシート!$E$9:$E$208,"女",集計アシストシート!$G$9:$G$208,"&lt;20",集計アシストシート!$J$9:$J$208,"&lt;12",集計アシストシート!$I$9:$I$208,"")</f>
        <v>0</v>
      </c>
      <c r="AD347" s="546" t="s">
        <v>0</v>
      </c>
      <c r="AE347" s="545">
        <f>COUNTIFS(集計アシストシート!$D$9:$D$208,"正規",集計アシストシート!$E$9:$E$208,"女",集計アシストシート!$G$9:$G$208,"&lt;20",集計アシストシート!$J$9:$J$208,"&gt;=12",集計アシストシート!$J$9:$J$208,"&lt;24",集計アシストシート!$I$9:$I$208,"")</f>
        <v>0</v>
      </c>
      <c r="AF347" s="546" t="s">
        <v>0</v>
      </c>
      <c r="AG347" s="545">
        <f>COUNTIFS(集計アシストシート!$D$9:$D$208,"正規",集計アシストシート!$E$9:$E$208,"女",集計アシストシート!$G$9:$G$208,"&lt;20",集計アシストシート!$J$9:$J$208,"&gt;=24",集計アシストシート!$J$9:$J$208,"&lt;36",集計アシストシート!$I$9:$I$208,"")</f>
        <v>0</v>
      </c>
      <c r="AH347" s="546" t="s">
        <v>0</v>
      </c>
      <c r="AI347" s="545">
        <f>COUNTIFS(集計アシストシート!$D$9:$D$208,"正規",集計アシストシート!$E$9:$E$208,"女",集計アシストシート!$G$9:$G$208,"&lt;20",集計アシストシート!$J$9:$J$208,"&gt;=36",集計アシストシート!$J$9:$J$208,"&lt;48",集計アシストシート!$I$9:$I$208,"")</f>
        <v>0</v>
      </c>
      <c r="AJ347" s="546" t="s">
        <v>0</v>
      </c>
      <c r="AK347" s="545">
        <f>COUNTIFS(集計アシストシート!$D$9:$D$208,"正規",集計アシストシート!$E$9:$E$208,"女",集計アシストシート!$G$9:$G$208,"&lt;20",集計アシストシート!$J$9:$J$208,"&gt;=48",集計アシストシート!$J$9:$J$208,"&lt;60",集計アシストシート!$I$9:$I$208,"")</f>
        <v>0</v>
      </c>
      <c r="AL347" s="546" t="s">
        <v>0</v>
      </c>
      <c r="AM347" s="545">
        <f>COUNTIFS(集計アシストシート!$D$9:$D$208,"正規",集計アシストシート!$E$9:$E$208,"女",集計アシストシート!$G$9:$G$208,"&lt;20",集計アシストシート!$J$9:$J$208,"&gt;=60",集計アシストシート!$J$9:$J$208,"&lt;120",集計アシストシート!$I$9:$I$208,"")</f>
        <v>0</v>
      </c>
      <c r="AN347" s="547" t="s">
        <v>0</v>
      </c>
      <c r="AO347" s="545">
        <f>COUNTIFS(集計アシストシート!$D$9:$D$208,"正規",集計アシストシート!$E$9:$E$208,"女",集計アシストシート!$G$9:$G$208,"&lt;20",集計アシストシート!$J$9:$J$208,"&gt;=120",集計アシストシート!$I$9:$I$208,"")</f>
        <v>0</v>
      </c>
      <c r="AP347" s="548" t="s">
        <v>0</v>
      </c>
      <c r="AQ347" s="549">
        <f>SUM(AC347,AE347,AG347,AI347,AK347,AM347,AO347)</f>
        <v>0</v>
      </c>
      <c r="AR347" s="550" t="s">
        <v>71</v>
      </c>
    </row>
    <row r="348" spans="1:44" ht="27" customHeight="1" x14ac:dyDescent="0.15">
      <c r="A348" s="1020"/>
      <c r="B348" s="1123"/>
      <c r="C348" s="712" t="s">
        <v>202</v>
      </c>
      <c r="D348" s="713"/>
      <c r="E348" s="713"/>
      <c r="F348" s="107"/>
      <c r="G348" s="108" t="s">
        <v>0</v>
      </c>
      <c r="H348" s="109"/>
      <c r="I348" s="108" t="s">
        <v>0</v>
      </c>
      <c r="J348" s="107"/>
      <c r="K348" s="108" t="s">
        <v>0</v>
      </c>
      <c r="L348" s="109"/>
      <c r="M348" s="108" t="s">
        <v>0</v>
      </c>
      <c r="N348" s="107"/>
      <c r="O348" s="108" t="s">
        <v>0</v>
      </c>
      <c r="P348" s="109"/>
      <c r="Q348" s="108" t="s">
        <v>0</v>
      </c>
      <c r="R348" s="109"/>
      <c r="S348" s="110" t="s">
        <v>0</v>
      </c>
      <c r="T348" s="111">
        <f t="shared" ref="T348:T353" si="7">SUM(F348,H348,J348,L348,N348,P348,R348)</f>
        <v>0</v>
      </c>
      <c r="U348" s="119" t="s">
        <v>489</v>
      </c>
      <c r="W348" s="377" t="s">
        <v>1674</v>
      </c>
      <c r="X348" s="1436"/>
      <c r="Y348" s="1450"/>
      <c r="Z348" s="1460" t="s">
        <v>202</v>
      </c>
      <c r="AA348" s="1461"/>
      <c r="AB348" s="1461"/>
      <c r="AC348" s="545">
        <f>COUNTIFS(集計アシストシート!$D$9:$D$208,"正規",集計アシストシート!$E$9:$E$208,"女",集計アシストシート!$G$9:$G$208,"&gt;=20",集計アシストシート!$G$9:$G$208,"&lt;30",集計アシストシート!$J$9:$J$208,"&lt;12",集計アシストシート!$I$9:$I$208,"")</f>
        <v>0</v>
      </c>
      <c r="AD348" s="551" t="s">
        <v>0</v>
      </c>
      <c r="AE348" s="545">
        <f>COUNTIFS(集計アシストシート!$D$9:$D$208,"正規",集計アシストシート!$E$9:$E$208,"女",集計アシストシート!$G$9:$G$208,"&gt;=20",集計アシストシート!$G$9:$G$208,"&lt;30",集計アシストシート!$J$9:$J$208,"&gt;=12",集計アシストシート!$J$9:$J$208,"&lt;24",集計アシストシート!$I$9:$I$208,"")</f>
        <v>0</v>
      </c>
      <c r="AF348" s="551" t="s">
        <v>0</v>
      </c>
      <c r="AG348" s="545">
        <f>COUNTIFS(集計アシストシート!$D$9:$D$208,"正規",集計アシストシート!$E$9:$E$208,"女",集計アシストシート!$G$9:$G$208,"&gt;=20",集計アシストシート!$G$9:$G$208,"&lt;30",集計アシストシート!$J$9:$J$208,"&gt;=24",集計アシストシート!$J$9:$J$208,"&lt;36",集計アシストシート!$I$9:$I$208,"")</f>
        <v>0</v>
      </c>
      <c r="AH348" s="551" t="s">
        <v>0</v>
      </c>
      <c r="AI348" s="545">
        <f>COUNTIFS(集計アシストシート!$D$9:$D$208,"正規",集計アシストシート!$E$9:$E$208,"女",集計アシストシート!$G$9:$G$208,"&gt;=20",集計アシストシート!$G$9:$G$208,"&lt;30",集計アシストシート!$J$9:$J$208,"&gt;=36",集計アシストシート!$J$9:$J$208,"&lt;48",集計アシストシート!$I$9:$I$208,"")</f>
        <v>0</v>
      </c>
      <c r="AJ348" s="551" t="s">
        <v>0</v>
      </c>
      <c r="AK348" s="545">
        <f>COUNTIFS(集計アシストシート!$D$9:$D$208,"正規",集計アシストシート!$E$9:$E$208,"女",集計アシストシート!$G$9:$G$208,"&gt;=20",集計アシストシート!$G$9:$G$208,"&lt;30",集計アシストシート!$J$9:$J$208,"&gt;=48",集計アシストシート!$J$9:$J$208,"&lt;60",集計アシストシート!$I$9:$I$208,"")</f>
        <v>0</v>
      </c>
      <c r="AL348" s="551" t="s">
        <v>0</v>
      </c>
      <c r="AM348" s="545">
        <f>COUNTIFS(集計アシストシート!$D$9:$D$208,"正規",集計アシストシート!$E$9:$E$208,"女",集計アシストシート!$G$9:$G$208,"&gt;=20",集計アシストシート!$G$9:$G$208,"&lt;30",集計アシストシート!$J$9:$J$208,"&gt;=60",集計アシストシート!$J$9:$J$208,"&lt;120",集計アシストシート!$I$9:$I$208,"")</f>
        <v>0</v>
      </c>
      <c r="AN348" s="551" t="s">
        <v>0</v>
      </c>
      <c r="AO348" s="545">
        <f>COUNTIFS(集計アシストシート!$D$9:$D$208,"正規",集計アシストシート!$E$9:$E$208,"女",集計アシストシート!$G$9:$G$208,"&gt;=20",集計アシストシート!$G$9:$G$208,"&lt;30",集計アシストシート!$J$9:$J$208,"&gt;=120",集計アシストシート!$I$9:$I$208,"")</f>
        <v>0</v>
      </c>
      <c r="AP348" s="552" t="s">
        <v>0</v>
      </c>
      <c r="AQ348" s="553">
        <f t="shared" ref="AQ348:AQ353" si="8">SUM(AC348,AE348,AG348,AI348,AK348,AM348,AO348)</f>
        <v>0</v>
      </c>
      <c r="AR348" s="554" t="s">
        <v>71</v>
      </c>
    </row>
    <row r="349" spans="1:44" ht="27" customHeight="1" x14ac:dyDescent="0.15">
      <c r="A349" s="1020"/>
      <c r="B349" s="1123"/>
      <c r="C349" s="712" t="s">
        <v>203</v>
      </c>
      <c r="D349" s="713"/>
      <c r="E349" s="713"/>
      <c r="F349" s="107"/>
      <c r="G349" s="108" t="s">
        <v>0</v>
      </c>
      <c r="H349" s="109"/>
      <c r="I349" s="108" t="s">
        <v>0</v>
      </c>
      <c r="J349" s="107"/>
      <c r="K349" s="108" t="s">
        <v>0</v>
      </c>
      <c r="L349" s="109"/>
      <c r="M349" s="108" t="s">
        <v>0</v>
      </c>
      <c r="N349" s="107"/>
      <c r="O349" s="108" t="s">
        <v>0</v>
      </c>
      <c r="P349" s="109"/>
      <c r="Q349" s="108" t="s">
        <v>0</v>
      </c>
      <c r="R349" s="109"/>
      <c r="S349" s="110" t="s">
        <v>0</v>
      </c>
      <c r="T349" s="111">
        <f t="shared" si="7"/>
        <v>0</v>
      </c>
      <c r="U349" s="119" t="s">
        <v>489</v>
      </c>
      <c r="W349" s="377" t="s">
        <v>1674</v>
      </c>
      <c r="X349" s="1436"/>
      <c r="Y349" s="1450"/>
      <c r="Z349" s="1460" t="s">
        <v>203</v>
      </c>
      <c r="AA349" s="1461"/>
      <c r="AB349" s="1461"/>
      <c r="AC349" s="545">
        <f>COUNTIFS(集計アシストシート!$D$9:$D$208,"正規",集計アシストシート!$E$9:$E$208,"女",集計アシストシート!$G$9:$G$208,"&gt;=30",集計アシストシート!$G$9:$G$208,"&lt;40",集計アシストシート!$J$9:$J$208,"&lt;12",集計アシストシート!$I$9:$I$208,"")</f>
        <v>0</v>
      </c>
      <c r="AD349" s="551" t="s">
        <v>0</v>
      </c>
      <c r="AE349" s="545">
        <f>COUNTIFS(集計アシストシート!$D$9:$D$208,"正規",集計アシストシート!$E$9:$E$208,"女",集計アシストシート!$G$9:$G$208,"&gt;=30",集計アシストシート!$G$9:$G$208,"&lt;40",集計アシストシート!$J$9:$J$208,"&gt;=12",集計アシストシート!$J$9:$J$208,"&lt;24",集計アシストシート!$I$9:$I$208,"")</f>
        <v>0</v>
      </c>
      <c r="AF349" s="551" t="s">
        <v>0</v>
      </c>
      <c r="AG349" s="545">
        <f>COUNTIFS(集計アシストシート!$D$9:$D$208,"正規",集計アシストシート!$E$9:$E$208,"女",集計アシストシート!$G$9:$G$208,"&gt;=30",集計アシストシート!$G$9:$G$208,"&lt;40",集計アシストシート!$J$9:$J$208,"&gt;=24",集計アシストシート!$J$9:$J$208,"&lt;36",集計アシストシート!$I$9:$I$208,"")</f>
        <v>0</v>
      </c>
      <c r="AH349" s="551" t="s">
        <v>0</v>
      </c>
      <c r="AI349" s="545">
        <f>COUNTIFS(集計アシストシート!$D$9:$D$208,"正規",集計アシストシート!$E$9:$E$208,"女",集計アシストシート!$G$9:$G$208,"&gt;=30",集計アシストシート!$G$9:$G$208,"&lt;40",集計アシストシート!$J$9:$J$208,"&gt;=36",集計アシストシート!$J$9:$J$208,"&lt;48",集計アシストシート!$I$9:$I$208,"")</f>
        <v>0</v>
      </c>
      <c r="AJ349" s="551" t="s">
        <v>0</v>
      </c>
      <c r="AK349" s="545">
        <f>COUNTIFS(集計アシストシート!$D$9:$D$208,"正規",集計アシストシート!$E$9:$E$208,"女",集計アシストシート!$G$9:$G$208,"&gt;=30",集計アシストシート!$G$9:$G$208,"&lt;40",集計アシストシート!$J$9:$J$208,"&gt;=48",集計アシストシート!$J$9:$J$208,"&lt;60",集計アシストシート!$I$9:$I$208,"")</f>
        <v>0</v>
      </c>
      <c r="AL349" s="551" t="s">
        <v>0</v>
      </c>
      <c r="AM349" s="545">
        <f>COUNTIFS(集計アシストシート!$D$9:$D$208,"正規",集計アシストシート!$E$9:$E$208,"女",集計アシストシート!$G$9:$G$208,"&gt;=30",集計アシストシート!$G$9:$G$208,"&lt;40",集計アシストシート!$J$9:$J$208,"&gt;=60",集計アシストシート!$J$9:$J$208,"&lt;120",集計アシストシート!$I$9:$I$208,"")</f>
        <v>0</v>
      </c>
      <c r="AN349" s="551" t="s">
        <v>0</v>
      </c>
      <c r="AO349" s="545">
        <f>COUNTIFS(集計アシストシート!$D$9:$D$208,"正規",集計アシストシート!$E$9:$E$208,"女",集計アシストシート!$G$9:$G$208,"&gt;=30",集計アシストシート!$G$9:$G$208,"&lt;40",集計アシストシート!$J$9:$J$208,"&gt;=120",集計アシストシート!$I$9:$I$208,"")</f>
        <v>0</v>
      </c>
      <c r="AP349" s="552" t="s">
        <v>0</v>
      </c>
      <c r="AQ349" s="553">
        <f t="shared" si="8"/>
        <v>0</v>
      </c>
      <c r="AR349" s="554" t="s">
        <v>71</v>
      </c>
    </row>
    <row r="350" spans="1:44" ht="27" customHeight="1" x14ac:dyDescent="0.15">
      <c r="A350" s="1020"/>
      <c r="B350" s="1123"/>
      <c r="C350" s="712" t="s">
        <v>204</v>
      </c>
      <c r="D350" s="713"/>
      <c r="E350" s="713"/>
      <c r="F350" s="107"/>
      <c r="G350" s="108" t="s">
        <v>0</v>
      </c>
      <c r="H350" s="109"/>
      <c r="I350" s="108" t="s">
        <v>0</v>
      </c>
      <c r="J350" s="107"/>
      <c r="K350" s="108" t="s">
        <v>0</v>
      </c>
      <c r="L350" s="109"/>
      <c r="M350" s="108" t="s">
        <v>0</v>
      </c>
      <c r="N350" s="107"/>
      <c r="O350" s="108" t="s">
        <v>0</v>
      </c>
      <c r="P350" s="109"/>
      <c r="Q350" s="108" t="s">
        <v>0</v>
      </c>
      <c r="R350" s="109"/>
      <c r="S350" s="110" t="s">
        <v>0</v>
      </c>
      <c r="T350" s="111">
        <f t="shared" si="7"/>
        <v>0</v>
      </c>
      <c r="U350" s="119" t="s">
        <v>489</v>
      </c>
      <c r="W350" s="377" t="s">
        <v>1674</v>
      </c>
      <c r="X350" s="1436"/>
      <c r="Y350" s="1450"/>
      <c r="Z350" s="1460" t="s">
        <v>204</v>
      </c>
      <c r="AA350" s="1461"/>
      <c r="AB350" s="1461"/>
      <c r="AC350" s="545">
        <f>COUNTIFS(集計アシストシート!$D$9:$D$208,"正規",集計アシストシート!$E$9:$E$208,"女",集計アシストシート!$G$9:$G$208,"&gt;=40",集計アシストシート!$G$9:$G$208,"&lt;50",集計アシストシート!$J$9:$J$208,"&lt;12",集計アシストシート!$I$9:$I$208,"")</f>
        <v>0</v>
      </c>
      <c r="AD350" s="551" t="s">
        <v>0</v>
      </c>
      <c r="AE350" s="545">
        <f>COUNTIFS(集計アシストシート!$D$9:$D$208,"正規",集計アシストシート!$E$9:$E$208,"女",集計アシストシート!$G$9:$G$208,"&gt;=40",集計アシストシート!$G$9:$G$208,"&lt;50",集計アシストシート!$J$9:$J$208,"&gt;=12",集計アシストシート!$J$9:$J$208,"&lt;24",集計アシストシート!$I$9:$I$208,"")</f>
        <v>0</v>
      </c>
      <c r="AF350" s="551" t="s">
        <v>0</v>
      </c>
      <c r="AG350" s="545">
        <f>COUNTIFS(集計アシストシート!$D$9:$D$208,"正規",集計アシストシート!$E$9:$E$208,"女",集計アシストシート!$G$9:$G$208,"&gt;=40",集計アシストシート!$G$9:$G$208,"&lt;50",集計アシストシート!$J$9:$J$208,"&gt;=24",集計アシストシート!$J$9:$J$208,"&lt;36",集計アシストシート!$I$9:$I$208,"")</f>
        <v>0</v>
      </c>
      <c r="AH350" s="551" t="s">
        <v>0</v>
      </c>
      <c r="AI350" s="545">
        <f>COUNTIFS(集計アシストシート!$D$9:$D$208,"正規",集計アシストシート!$E$9:$E$208,"女",集計アシストシート!$G$9:$G$208,"&gt;=40",集計アシストシート!$G$9:$G$208,"&lt;50",集計アシストシート!$J$9:$J$208,"&gt;=36",集計アシストシート!$J$9:$J$208,"&lt;48",集計アシストシート!$I$9:$I$208,"")</f>
        <v>0</v>
      </c>
      <c r="AJ350" s="551" t="s">
        <v>0</v>
      </c>
      <c r="AK350" s="545">
        <f>COUNTIFS(集計アシストシート!$D$9:$D$208,"正規",集計アシストシート!$E$9:$E$208,"女",集計アシストシート!$G$9:$G$208,"&gt;=40",集計アシストシート!$G$9:$G$208,"&lt;50",集計アシストシート!$J$9:$J$208,"&gt;=48",集計アシストシート!$J$9:$J$208,"&lt;60",集計アシストシート!$I$9:$I$208,"")</f>
        <v>0</v>
      </c>
      <c r="AL350" s="551" t="s">
        <v>0</v>
      </c>
      <c r="AM350" s="545">
        <f>COUNTIFS(集計アシストシート!$D$9:$D$208,"正規",集計アシストシート!$E$9:$E$208,"女",集計アシストシート!$G$9:$G$208,"&gt;=40",集計アシストシート!$G$9:$G$208,"&lt;50",集計アシストシート!$J$9:$J$208,"&gt;=60",集計アシストシート!$J$9:$J$208,"&lt;120",集計アシストシート!$I$9:$I$208,"")</f>
        <v>0</v>
      </c>
      <c r="AN350" s="551" t="s">
        <v>0</v>
      </c>
      <c r="AO350" s="545">
        <f>COUNTIFS(集計アシストシート!$D$9:$D$208,"正規",集計アシストシート!$E$9:$E$208,"女",集計アシストシート!$G$9:$G$208,"&gt;=40",集計アシストシート!$G$9:$G$208,"&lt;50",集計アシストシート!$J$9:$J$208,"&gt;=120",集計アシストシート!$I$9:$I$208,"")</f>
        <v>0</v>
      </c>
      <c r="AP350" s="552" t="s">
        <v>0</v>
      </c>
      <c r="AQ350" s="553">
        <f t="shared" si="8"/>
        <v>0</v>
      </c>
      <c r="AR350" s="554" t="s">
        <v>71</v>
      </c>
    </row>
    <row r="351" spans="1:44" ht="27" customHeight="1" x14ac:dyDescent="0.15">
      <c r="A351" s="1020"/>
      <c r="B351" s="1123"/>
      <c r="C351" s="712" t="s">
        <v>205</v>
      </c>
      <c r="D351" s="713"/>
      <c r="E351" s="713"/>
      <c r="F351" s="107"/>
      <c r="G351" s="108" t="s">
        <v>0</v>
      </c>
      <c r="H351" s="109"/>
      <c r="I351" s="108" t="s">
        <v>0</v>
      </c>
      <c r="J351" s="107"/>
      <c r="K351" s="108" t="s">
        <v>0</v>
      </c>
      <c r="L351" s="109"/>
      <c r="M351" s="108" t="s">
        <v>0</v>
      </c>
      <c r="N351" s="107"/>
      <c r="O351" s="108" t="s">
        <v>0</v>
      </c>
      <c r="P351" s="109"/>
      <c r="Q351" s="108" t="s">
        <v>0</v>
      </c>
      <c r="R351" s="109"/>
      <c r="S351" s="110" t="s">
        <v>0</v>
      </c>
      <c r="T351" s="111">
        <f t="shared" si="7"/>
        <v>0</v>
      </c>
      <c r="U351" s="119" t="s">
        <v>489</v>
      </c>
      <c r="W351" s="377" t="s">
        <v>1674</v>
      </c>
      <c r="X351" s="1436"/>
      <c r="Y351" s="1450"/>
      <c r="Z351" s="1460" t="s">
        <v>205</v>
      </c>
      <c r="AA351" s="1461"/>
      <c r="AB351" s="1461"/>
      <c r="AC351" s="545">
        <f>COUNTIFS(集計アシストシート!$D$9:$D$208,"正規",集計アシストシート!$E$9:$E$208,"女",集計アシストシート!$G$9:$G$208,"&gt;=50",集計アシストシート!$G$9:$G$208,"&lt;60",集計アシストシート!$J$9:$J$208,"&lt;12",集計アシストシート!$I$9:$I$208,"")</f>
        <v>0</v>
      </c>
      <c r="AD351" s="551" t="s">
        <v>0</v>
      </c>
      <c r="AE351" s="545">
        <f>COUNTIFS(集計アシストシート!$D$9:$D$208,"正規",集計アシストシート!$E$9:$E$208,"女",集計アシストシート!$G$9:$G$208,"&gt;=50",集計アシストシート!$G$9:$G$208,"&lt;60",集計アシストシート!$J$9:$J$208,"&gt;=12",集計アシストシート!$J$9:$J$208,"&lt;24",集計アシストシート!$I$9:$I$208,"")</f>
        <v>0</v>
      </c>
      <c r="AF351" s="551" t="s">
        <v>0</v>
      </c>
      <c r="AG351" s="545">
        <f>COUNTIFS(集計アシストシート!$D$9:$D$208,"正規",集計アシストシート!$E$9:$E$208,"女",集計アシストシート!$G$9:$G$208,"&gt;=50",集計アシストシート!$G$9:$G$208,"&lt;60",集計アシストシート!$J$9:$J$208,"&gt;=24",集計アシストシート!$J$9:$J$208,"&lt;36",集計アシストシート!$I$9:$I$208,"")</f>
        <v>0</v>
      </c>
      <c r="AH351" s="551" t="s">
        <v>0</v>
      </c>
      <c r="AI351" s="545">
        <f>COUNTIFS(集計アシストシート!$D$9:$D$208,"正規",集計アシストシート!$E$9:$E$208,"女",集計アシストシート!$G$9:$G$208,"&gt;=50",集計アシストシート!$G$9:$G$208,"&lt;60",集計アシストシート!$J$9:$J$208,"&gt;=36",集計アシストシート!$J$9:$J$208,"&lt;48",集計アシストシート!$I$9:$I$208,"")</f>
        <v>0</v>
      </c>
      <c r="AJ351" s="551" t="s">
        <v>0</v>
      </c>
      <c r="AK351" s="545">
        <f>COUNTIFS(集計アシストシート!$D$9:$D$208,"正規",集計アシストシート!$E$9:$E$208,"女",集計アシストシート!$G$9:$G$208,"&gt;=50",集計アシストシート!$G$9:$G$208,"&lt;60",集計アシストシート!$J$9:$J$208,"&gt;=48",集計アシストシート!$J$9:$J$208,"&lt;60",集計アシストシート!$I$9:$I$208,"")</f>
        <v>0</v>
      </c>
      <c r="AL351" s="551" t="s">
        <v>0</v>
      </c>
      <c r="AM351" s="545">
        <f>COUNTIFS(集計アシストシート!$D$9:$D$208,"正規",集計アシストシート!$E$9:$E$208,"女",集計アシストシート!$G$9:$G$208,"&gt;=50",集計アシストシート!$G$9:$G$208,"&lt;60",集計アシストシート!$J$9:$J$208,"&gt;=60",集計アシストシート!$J$9:$J$208,"&lt;120",集計アシストシート!$I$9:$I$208,"")</f>
        <v>0</v>
      </c>
      <c r="AN351" s="551" t="s">
        <v>0</v>
      </c>
      <c r="AO351" s="545">
        <f>COUNTIFS(集計アシストシート!$D$9:$D$208,"正規",集計アシストシート!$E$9:$E$208,"女",集計アシストシート!$G$9:$G$208,"&gt;=50",集計アシストシート!$G$9:$G$208,"&lt;60",集計アシストシート!$J$9:$J$208,"&gt;=120",集計アシストシート!$I$9:$I$208,"")</f>
        <v>0</v>
      </c>
      <c r="AP351" s="552" t="s">
        <v>0</v>
      </c>
      <c r="AQ351" s="553">
        <f t="shared" si="8"/>
        <v>0</v>
      </c>
      <c r="AR351" s="554" t="s">
        <v>71</v>
      </c>
    </row>
    <row r="352" spans="1:44" ht="27" customHeight="1" thickBot="1" x14ac:dyDescent="0.2">
      <c r="A352" s="1020"/>
      <c r="B352" s="1123"/>
      <c r="C352" s="836" t="s">
        <v>206</v>
      </c>
      <c r="D352" s="837"/>
      <c r="E352" s="837"/>
      <c r="F352" s="112"/>
      <c r="G352" s="113" t="s">
        <v>0</v>
      </c>
      <c r="H352" s="114"/>
      <c r="I352" s="113" t="s">
        <v>0</v>
      </c>
      <c r="J352" s="112"/>
      <c r="K352" s="113" t="s">
        <v>0</v>
      </c>
      <c r="L352" s="114"/>
      <c r="M352" s="113" t="s">
        <v>0</v>
      </c>
      <c r="N352" s="112"/>
      <c r="O352" s="113" t="s">
        <v>0</v>
      </c>
      <c r="P352" s="114"/>
      <c r="Q352" s="113" t="s">
        <v>0</v>
      </c>
      <c r="R352" s="114"/>
      <c r="S352" s="115" t="s">
        <v>0</v>
      </c>
      <c r="T352" s="116">
        <f t="shared" si="7"/>
        <v>0</v>
      </c>
      <c r="U352" s="120" t="s">
        <v>489</v>
      </c>
      <c r="W352" s="377" t="s">
        <v>1674</v>
      </c>
      <c r="X352" s="1436"/>
      <c r="Y352" s="1450"/>
      <c r="Z352" s="1462" t="s">
        <v>206</v>
      </c>
      <c r="AA352" s="1463"/>
      <c r="AB352" s="1463"/>
      <c r="AC352" s="545">
        <f>COUNTIFS(集計アシストシート!$D$9:$D$208,"正規",集計アシストシート!$E$9:$E$208,"女",集計アシストシート!$G$9:$G$208,"&gt;=60",集計アシストシート!$J$9:$J$208,"&lt;12",集計アシストシート!$I$9:$I$208,"")</f>
        <v>0</v>
      </c>
      <c r="AD352" s="555" t="s">
        <v>0</v>
      </c>
      <c r="AE352" s="545">
        <f>COUNTIFS(集計アシストシート!$D$9:$D$208,"正規",集計アシストシート!$E$9:$E$208,"女",集計アシストシート!$G$9:$G$208,"&gt;=60",集計アシストシート!$J$9:$J$208,"&gt;=12",集計アシストシート!$J$9:$J$208,"&lt;24",集計アシストシート!$I$9:$I$208,"")</f>
        <v>0</v>
      </c>
      <c r="AF352" s="555" t="s">
        <v>0</v>
      </c>
      <c r="AG352" s="545">
        <f>COUNTIFS(集計アシストシート!$D$9:$D$208,"正規",集計アシストシート!$E$9:$E$208,"女",集計アシストシート!$G$9:$G$208,"&gt;=60",集計アシストシート!$J$9:$J$208,"&gt;=24",集計アシストシート!$J$9:$J$208,"&lt;36",集計アシストシート!$I$9:$I$208,"")</f>
        <v>0</v>
      </c>
      <c r="AH352" s="555" t="s">
        <v>0</v>
      </c>
      <c r="AI352" s="545">
        <f>COUNTIFS(集計アシストシート!$D$9:$D$208,"正規",集計アシストシート!$E$9:$E$208,"女",集計アシストシート!$G$9:$G$208,"&gt;=60",集計アシストシート!$J$9:$J$208,"&gt;=36",集計アシストシート!$J$9:$J$208,"&lt;48",集計アシストシート!$I$9:$I$208,"")</f>
        <v>0</v>
      </c>
      <c r="AJ352" s="555" t="s">
        <v>0</v>
      </c>
      <c r="AK352" s="545">
        <f>COUNTIFS(集計アシストシート!$D$9:$D$208,"正規",集計アシストシート!$E$9:$E$208,"女",集計アシストシート!$G$9:$G$208,"&gt;=60",集計アシストシート!$J$9:$J$208,"&gt;=48",集計アシストシート!$J$9:$J$208,"&lt;60",集計アシストシート!$I$9:$I$208,"")</f>
        <v>0</v>
      </c>
      <c r="AL352" s="555" t="s">
        <v>0</v>
      </c>
      <c r="AM352" s="545">
        <f>COUNTIFS(集計アシストシート!$D$9:$D$208,"正規",集計アシストシート!$E$9:$E$208,"女",集計アシストシート!$G$9:$G$208,"&gt;=60",集計アシストシート!$J$9:$J$208,"&gt;=60",集計アシストシート!$J$9:$J$208,"&lt;120",集計アシストシート!$I$9:$I$208,"")</f>
        <v>0</v>
      </c>
      <c r="AN352" s="555" t="s">
        <v>0</v>
      </c>
      <c r="AO352" s="545">
        <f>COUNTIFS(集計アシストシート!$D$9:$D$208,"正規",集計アシストシート!$E$9:$E$208,"女",集計アシストシート!$G$9:$G$208,"&gt;=60",集計アシストシート!$J$9:$J$208,"&gt;=120",集計アシストシート!$I$9:$I$208,"")</f>
        <v>0</v>
      </c>
      <c r="AP352" s="556" t="s">
        <v>0</v>
      </c>
      <c r="AQ352" s="557">
        <f t="shared" si="8"/>
        <v>0</v>
      </c>
      <c r="AR352" s="558" t="s">
        <v>71</v>
      </c>
    </row>
    <row r="353" spans="1:48" ht="27" customHeight="1" thickTop="1" x14ac:dyDescent="0.15">
      <c r="A353" s="1020"/>
      <c r="B353" s="1124"/>
      <c r="C353" s="838" t="s">
        <v>410</v>
      </c>
      <c r="D353" s="839"/>
      <c r="E353" s="839"/>
      <c r="F353" s="121" t="str">
        <f>IF(F347+F348+F349+F350+F351+F352=0,"",F347+F348+F349+F350+F351+F352)</f>
        <v/>
      </c>
      <c r="G353" s="121" t="s">
        <v>0</v>
      </c>
      <c r="H353" s="501" t="str">
        <f>IF(H347+H348+H349+H350+H351+H352=0,"",H347+H348+H349+H350+H351+H352)</f>
        <v/>
      </c>
      <c r="I353" s="122" t="s">
        <v>0</v>
      </c>
      <c r="J353" s="121" t="str">
        <f>IF(J347+J348+J349+J350+J351+J352=0,"",J347+J348+J349+J350+J351+J352)</f>
        <v/>
      </c>
      <c r="K353" s="121" t="s">
        <v>0</v>
      </c>
      <c r="L353" s="501" t="str">
        <f>IF(L347+L348+L349+L350+L351+L352=0,"",L347+L348+L349+L350+L351+L352)</f>
        <v/>
      </c>
      <c r="M353" s="122" t="s">
        <v>0</v>
      </c>
      <c r="N353" s="121" t="str">
        <f>IF(N347+N348+N349+N350+N351+N352=0,"",N347+N348+N349+N350+N351+N352)</f>
        <v/>
      </c>
      <c r="O353" s="121" t="s">
        <v>0</v>
      </c>
      <c r="P353" s="501" t="str">
        <f>IF(P347+P348+P349+P350+P351+P352=0,"",P347+P348+P349+P350+P351+P352)</f>
        <v/>
      </c>
      <c r="Q353" s="122" t="s">
        <v>0</v>
      </c>
      <c r="R353" s="501" t="str">
        <f>IF(R347+R348+R349+R350+R351+R352=0,"",R347+R348+R349+R350+R351+R352)</f>
        <v/>
      </c>
      <c r="S353" s="121" t="s">
        <v>0</v>
      </c>
      <c r="T353" s="123">
        <f t="shared" si="7"/>
        <v>0</v>
      </c>
      <c r="U353" s="124" t="s">
        <v>489</v>
      </c>
      <c r="W353" s="377" t="s">
        <v>1674</v>
      </c>
      <c r="X353" s="1436"/>
      <c r="Y353" s="1451"/>
      <c r="Z353" s="1464" t="s">
        <v>410</v>
      </c>
      <c r="AA353" s="1465"/>
      <c r="AB353" s="1465"/>
      <c r="AC353" s="559" t="str">
        <f>IF(AC347+AC348+AC349+AC350+AC351+AC352=0,"",AC347+AC348+AC349+AC350+AC351+AC352)</f>
        <v/>
      </c>
      <c r="AD353" s="559" t="s">
        <v>0</v>
      </c>
      <c r="AE353" s="560" t="str">
        <f>IF(AE347+AE348+AE349+AE350+AE351+AE352=0,"",AE347+AE348+AE349+AE350+AE351+AE352)</f>
        <v/>
      </c>
      <c r="AF353" s="561" t="s">
        <v>0</v>
      </c>
      <c r="AG353" s="559" t="str">
        <f>IF(AG347+AG348+AG349+AG350+AG351+AG352=0,"",AG347+AG348+AG349+AG350+AG351+AG352)</f>
        <v/>
      </c>
      <c r="AH353" s="559" t="s">
        <v>0</v>
      </c>
      <c r="AI353" s="560" t="str">
        <f>IF(AI347+AI348+AI349+AI350+AI351+AI352=0,"",AI347+AI348+AI349+AI350+AI351+AI352)</f>
        <v/>
      </c>
      <c r="AJ353" s="561" t="s">
        <v>0</v>
      </c>
      <c r="AK353" s="559" t="str">
        <f>IF(AK347+AK348+AK349+AK350+AK351+AK352=0,"",AK347+AK348+AK349+AK350+AK351+AK352)</f>
        <v/>
      </c>
      <c r="AL353" s="559" t="s">
        <v>0</v>
      </c>
      <c r="AM353" s="560" t="str">
        <f>IF(AM347+AM348+AM349+AM350+AM351+AM352=0,"",AM347+AM348+AM349+AM350+AM351+AM352)</f>
        <v/>
      </c>
      <c r="AN353" s="561" t="s">
        <v>0</v>
      </c>
      <c r="AO353" s="560" t="str">
        <f>IF(AO347+AO348+AO349+AO350+AO351+AO352=0,"",AO347+AO348+AO349+AO350+AO351+AO352)</f>
        <v/>
      </c>
      <c r="AP353" s="559" t="s">
        <v>0</v>
      </c>
      <c r="AQ353" s="562">
        <f t="shared" si="8"/>
        <v>0</v>
      </c>
      <c r="AR353" s="563" t="s">
        <v>71</v>
      </c>
    </row>
    <row r="354" spans="1:48" ht="27" customHeight="1" x14ac:dyDescent="0.15">
      <c r="A354" s="1020"/>
      <c r="B354" s="1122" t="s">
        <v>494</v>
      </c>
      <c r="C354" s="751" t="s">
        <v>496</v>
      </c>
      <c r="D354" s="1023"/>
      <c r="E354" s="1023"/>
      <c r="F354" s="750" t="s">
        <v>483</v>
      </c>
      <c r="G354" s="751"/>
      <c r="H354" s="750" t="s">
        <v>484</v>
      </c>
      <c r="I354" s="751"/>
      <c r="J354" s="1143" t="s">
        <v>485</v>
      </c>
      <c r="K354" s="751"/>
      <c r="L354" s="750" t="s">
        <v>486</v>
      </c>
      <c r="M354" s="751"/>
      <c r="N354" s="1143" t="s">
        <v>487</v>
      </c>
      <c r="O354" s="751"/>
      <c r="P354" s="1023" t="s">
        <v>234</v>
      </c>
      <c r="Q354" s="1023"/>
      <c r="R354" s="1023" t="s">
        <v>488</v>
      </c>
      <c r="S354" s="750"/>
      <c r="T354" s="784" t="s">
        <v>467</v>
      </c>
      <c r="U354" s="731"/>
      <c r="W354" s="377" t="s">
        <v>1674</v>
      </c>
      <c r="X354" s="1436"/>
      <c r="Y354" s="1449" t="s">
        <v>494</v>
      </c>
      <c r="Z354" s="1452" t="s">
        <v>496</v>
      </c>
      <c r="AA354" s="1453"/>
      <c r="AB354" s="1453"/>
      <c r="AC354" s="1454" t="s">
        <v>115</v>
      </c>
      <c r="AD354" s="1452"/>
      <c r="AE354" s="1454" t="s">
        <v>484</v>
      </c>
      <c r="AF354" s="1452"/>
      <c r="AG354" s="1455" t="s">
        <v>485</v>
      </c>
      <c r="AH354" s="1452"/>
      <c r="AI354" s="1454" t="s">
        <v>486</v>
      </c>
      <c r="AJ354" s="1452"/>
      <c r="AK354" s="1455" t="s">
        <v>487</v>
      </c>
      <c r="AL354" s="1452"/>
      <c r="AM354" s="1453" t="s">
        <v>234</v>
      </c>
      <c r="AN354" s="1453"/>
      <c r="AO354" s="1453" t="s">
        <v>163</v>
      </c>
      <c r="AP354" s="1454"/>
      <c r="AQ354" s="1485" t="s">
        <v>410</v>
      </c>
      <c r="AR354" s="1486"/>
    </row>
    <row r="355" spans="1:48" ht="27" customHeight="1" x14ac:dyDescent="0.15">
      <c r="A355" s="1020"/>
      <c r="B355" s="1123"/>
      <c r="C355" s="782" t="s">
        <v>49</v>
      </c>
      <c r="D355" s="783"/>
      <c r="E355" s="783"/>
      <c r="F355" s="100"/>
      <c r="G355" s="101" t="s">
        <v>0</v>
      </c>
      <c r="H355" s="102"/>
      <c r="I355" s="101" t="s">
        <v>0</v>
      </c>
      <c r="J355" s="100"/>
      <c r="K355" s="101" t="s">
        <v>0</v>
      </c>
      <c r="L355" s="102"/>
      <c r="M355" s="101" t="s">
        <v>0</v>
      </c>
      <c r="N355" s="100"/>
      <c r="O355" s="101" t="s">
        <v>0</v>
      </c>
      <c r="P355" s="103"/>
      <c r="Q355" s="104" t="s">
        <v>0</v>
      </c>
      <c r="R355" s="103"/>
      <c r="S355" s="105" t="s">
        <v>0</v>
      </c>
      <c r="T355" s="106">
        <f>SUM(F355,H355,J355,L355,N355,P355,R355)</f>
        <v>0</v>
      </c>
      <c r="U355" s="118" t="s">
        <v>489</v>
      </c>
      <c r="W355" s="377" t="s">
        <v>1674</v>
      </c>
      <c r="X355" s="1436"/>
      <c r="Y355" s="1450"/>
      <c r="Z355" s="1438" t="s">
        <v>49</v>
      </c>
      <c r="AA355" s="1439"/>
      <c r="AB355" s="1439"/>
      <c r="AC355" s="545">
        <f>COUNTIFS(集計アシストシート!$D$9:$D$208,"非正規",集計アシストシート!$E$9:$E$208,"女",集計アシストシート!$G$9:$G$208,"&lt;20",集計アシストシート!$J$9:$J$208,"&lt;12",集計アシストシート!$I$9:$I$208,"")</f>
        <v>0</v>
      </c>
      <c r="AD355" s="546" t="s">
        <v>0</v>
      </c>
      <c r="AE355" s="545">
        <f>COUNTIFS(集計アシストシート!$D$9:$D$208,"非正規",集計アシストシート!$E$9:$E$208,"女",集計アシストシート!$G$9:$G$208,"&lt;20",集計アシストシート!$J$9:$J$208,"&gt;=12",集計アシストシート!$J$9:$J$208,"&lt;24",集計アシストシート!$I$9:$I$208,"")</f>
        <v>0</v>
      </c>
      <c r="AF355" s="546" t="s">
        <v>0</v>
      </c>
      <c r="AG355" s="545">
        <f>COUNTIFS(集計アシストシート!$D$9:$D$208,"非正規",集計アシストシート!$E$9:$E$208,"女",集計アシストシート!$G$9:$G$208,"&lt;20",集計アシストシート!$J$9:$J$208,"&gt;=24",集計アシストシート!$J$9:$J$208,"&lt;36",集計アシストシート!$I$9:$I$208,"")</f>
        <v>0</v>
      </c>
      <c r="AH355" s="546" t="s">
        <v>0</v>
      </c>
      <c r="AI355" s="545">
        <f>COUNTIFS(集計アシストシート!$D$9:$D$208,"非正規",集計アシストシート!$E$9:$E$208,"女",集計アシストシート!$G$9:$G$208,"&lt;20",集計アシストシート!$J$9:$J$208,"&gt;=36",集計アシストシート!$J$9:$J$208,"&lt;48",集計アシストシート!$I$9:$I$208,"")</f>
        <v>0</v>
      </c>
      <c r="AJ355" s="546" t="s">
        <v>0</v>
      </c>
      <c r="AK355" s="545">
        <f>COUNTIFS(集計アシストシート!$D$9:$D$208,"非正規",集計アシストシート!$E$9:$E$208,"女",集計アシストシート!$G$9:$G$208,"&lt;20",集計アシストシート!$J$9:$J$208,"&gt;=48",集計アシストシート!$J$9:$J$208,"&lt;60",集計アシストシート!$I$9:$I$208,"")</f>
        <v>0</v>
      </c>
      <c r="AL355" s="546" t="s">
        <v>0</v>
      </c>
      <c r="AM355" s="545">
        <f>COUNTIFS(集計アシストシート!$D$9:$D$208,"非正規",集計アシストシート!$E$9:$E$208,"女",集計アシストシート!$G$9:$G$208,"&lt;20",集計アシストシート!$J$9:$J$208,"&gt;=60",集計アシストシート!$J$9:$J$208,"&lt;120",集計アシストシート!$I$9:$I$208,"")</f>
        <v>0</v>
      </c>
      <c r="AN355" s="547" t="s">
        <v>0</v>
      </c>
      <c r="AO355" s="545">
        <f>COUNTIFS(集計アシストシート!$D$9:$D$208,"非正規",集計アシストシート!$E$9:$E$208,"女",集計アシストシート!$G$9:$G$208,"&lt;20",集計アシストシート!$J$9:$J$208,"&gt;=120",集計アシストシート!$I$9:$I$208,"")</f>
        <v>0</v>
      </c>
      <c r="AP355" s="548" t="s">
        <v>0</v>
      </c>
      <c r="AQ355" s="549">
        <f>SUM(AC355,AE355,AG355,AI355,AK355,AM355,AO355)</f>
        <v>0</v>
      </c>
      <c r="AR355" s="550" t="s">
        <v>71</v>
      </c>
    </row>
    <row r="356" spans="1:48" ht="27" customHeight="1" x14ac:dyDescent="0.15">
      <c r="A356" s="1020"/>
      <c r="B356" s="1123"/>
      <c r="C356" s="712" t="s">
        <v>202</v>
      </c>
      <c r="D356" s="713"/>
      <c r="E356" s="713"/>
      <c r="F356" s="107"/>
      <c r="G356" s="108" t="s">
        <v>0</v>
      </c>
      <c r="H356" s="109"/>
      <c r="I356" s="108" t="s">
        <v>0</v>
      </c>
      <c r="J356" s="107"/>
      <c r="K356" s="108" t="s">
        <v>0</v>
      </c>
      <c r="L356" s="109"/>
      <c r="M356" s="108" t="s">
        <v>0</v>
      </c>
      <c r="N356" s="107"/>
      <c r="O356" s="108" t="s">
        <v>0</v>
      </c>
      <c r="P356" s="109"/>
      <c r="Q356" s="108" t="s">
        <v>0</v>
      </c>
      <c r="R356" s="109"/>
      <c r="S356" s="110" t="s">
        <v>0</v>
      </c>
      <c r="T356" s="111">
        <f t="shared" ref="T356:T361" si="9">SUM(F356,H356,J356,L356,N356,P356,R356)</f>
        <v>0</v>
      </c>
      <c r="U356" s="119" t="s">
        <v>489</v>
      </c>
      <c r="W356" s="377" t="s">
        <v>1674</v>
      </c>
      <c r="X356" s="1436"/>
      <c r="Y356" s="1450"/>
      <c r="Z356" s="1460" t="s">
        <v>202</v>
      </c>
      <c r="AA356" s="1461"/>
      <c r="AB356" s="1461"/>
      <c r="AC356" s="545">
        <f>COUNTIFS(集計アシストシート!$D$9:$D$208,"非正規",集計アシストシート!$E$9:$E$208,"女",集計アシストシート!$G$9:$G$208,"&gt;=20",集計アシストシート!$G$9:$G$208,"&lt;30",集計アシストシート!$J$9:$J$208,"&lt;12",集計アシストシート!$I$9:$I$208,"")</f>
        <v>0</v>
      </c>
      <c r="AD356" s="551" t="s">
        <v>0</v>
      </c>
      <c r="AE356" s="545">
        <f>COUNTIFS(集計アシストシート!$D$9:$D$208,"非正規",集計アシストシート!$E$9:$E$208,"女",集計アシストシート!$G$9:$G$208,"&gt;=20",集計アシストシート!$G$9:$G$208,"&lt;30",集計アシストシート!$J$9:$J$208,"&gt;=12",集計アシストシート!$J$9:$J$208,"&lt;24",集計アシストシート!$I$9:$I$208,"")</f>
        <v>0</v>
      </c>
      <c r="AF356" s="551" t="s">
        <v>0</v>
      </c>
      <c r="AG356" s="545">
        <f>COUNTIFS(集計アシストシート!$D$9:$D$208,"非正規",集計アシストシート!$E$9:$E$208,"女",集計アシストシート!$G$9:$G$208,"&gt;=20",集計アシストシート!$G$9:$G$208,"&lt;30",集計アシストシート!$J$9:$J$208,"&gt;=24",集計アシストシート!$J$9:$J$208,"&lt;36",集計アシストシート!$I$9:$I$208,"")</f>
        <v>0</v>
      </c>
      <c r="AH356" s="551" t="s">
        <v>0</v>
      </c>
      <c r="AI356" s="545">
        <f>COUNTIFS(集計アシストシート!$D$9:$D$208,"非正規",集計アシストシート!$E$9:$E$208,"女",集計アシストシート!$G$9:$G$208,"&gt;=20",集計アシストシート!$G$9:$G$208,"&lt;30",集計アシストシート!$J$9:$J$208,"&gt;=36",集計アシストシート!$J$9:$J$208,"&lt;48",集計アシストシート!$I$9:$I$208,"")</f>
        <v>0</v>
      </c>
      <c r="AJ356" s="551" t="s">
        <v>0</v>
      </c>
      <c r="AK356" s="545">
        <f>COUNTIFS(集計アシストシート!$D$9:$D$208,"非正規",集計アシストシート!$E$9:$E$208,"女",集計アシストシート!$G$9:$G$208,"&gt;=20",集計アシストシート!$G$9:$G$208,"&lt;30",集計アシストシート!$J$9:$J$208,"&gt;=48",集計アシストシート!$J$9:$J$208,"&lt;60",集計アシストシート!$I$9:$I$208,"")</f>
        <v>0</v>
      </c>
      <c r="AL356" s="551" t="s">
        <v>0</v>
      </c>
      <c r="AM356" s="545">
        <f>COUNTIFS(集計アシストシート!$D$9:$D$208,"非正規",集計アシストシート!$E$9:$E$208,"女",集計アシストシート!$G$9:$G$208,"&gt;=20",集計アシストシート!$G$9:$G$208,"&lt;30",集計アシストシート!$J$9:$J$208,"&gt;=60",集計アシストシート!$J$9:$J$208,"&lt;120",集計アシストシート!$I$9:$I$208,"")</f>
        <v>0</v>
      </c>
      <c r="AN356" s="551" t="s">
        <v>0</v>
      </c>
      <c r="AO356" s="545">
        <f>COUNTIFS(集計アシストシート!$D$9:$D$208,"非正規",集計アシストシート!$E$9:$E$208,"女",集計アシストシート!$G$9:$G$208,"&gt;=20",集計アシストシート!$G$9:$G$208,"&lt;30",集計アシストシート!$J$9:$J$208,"&gt;=120",集計アシストシート!$I$9:$I$208,"")</f>
        <v>0</v>
      </c>
      <c r="AP356" s="552" t="s">
        <v>0</v>
      </c>
      <c r="AQ356" s="553">
        <f t="shared" ref="AQ356:AQ361" si="10">SUM(AC356,AE356,AG356,AI356,AK356,AM356,AO356)</f>
        <v>0</v>
      </c>
      <c r="AR356" s="554" t="s">
        <v>71</v>
      </c>
    </row>
    <row r="357" spans="1:48" ht="27" customHeight="1" x14ac:dyDescent="0.15">
      <c r="A357" s="1020"/>
      <c r="B357" s="1123"/>
      <c r="C357" s="712" t="s">
        <v>203</v>
      </c>
      <c r="D357" s="713"/>
      <c r="E357" s="713"/>
      <c r="F357" s="107"/>
      <c r="G357" s="108" t="s">
        <v>0</v>
      </c>
      <c r="H357" s="109"/>
      <c r="I357" s="108" t="s">
        <v>0</v>
      </c>
      <c r="J357" s="107"/>
      <c r="K357" s="108" t="s">
        <v>0</v>
      </c>
      <c r="L357" s="109"/>
      <c r="M357" s="108" t="s">
        <v>0</v>
      </c>
      <c r="N357" s="107"/>
      <c r="O357" s="108" t="s">
        <v>0</v>
      </c>
      <c r="P357" s="109"/>
      <c r="Q357" s="108" t="s">
        <v>0</v>
      </c>
      <c r="R357" s="109"/>
      <c r="S357" s="110" t="s">
        <v>0</v>
      </c>
      <c r="T357" s="111">
        <f t="shared" si="9"/>
        <v>0</v>
      </c>
      <c r="U357" s="119" t="s">
        <v>489</v>
      </c>
      <c r="W357" s="377" t="s">
        <v>1674</v>
      </c>
      <c r="X357" s="1436"/>
      <c r="Y357" s="1450"/>
      <c r="Z357" s="1460" t="s">
        <v>203</v>
      </c>
      <c r="AA357" s="1461"/>
      <c r="AB357" s="1461"/>
      <c r="AC357" s="545">
        <f>COUNTIFS(集計アシストシート!$D$9:$D$208,"非正規",集計アシストシート!$E$9:$E$208,"女",集計アシストシート!$G$9:$G$208,"&gt;=30",集計アシストシート!$G$9:$G$208,"&lt;40",集計アシストシート!$J$9:$J$208,"&lt;12",集計アシストシート!$I$9:$I$208,"")</f>
        <v>0</v>
      </c>
      <c r="AD357" s="551" t="s">
        <v>0</v>
      </c>
      <c r="AE357" s="545">
        <f>COUNTIFS(集計アシストシート!$D$9:$D$208,"非正規",集計アシストシート!$E$9:$E$208,"女",集計アシストシート!$G$9:$G$208,"&gt;=30",集計アシストシート!$G$9:$G$208,"&lt;40",集計アシストシート!$J$9:$J$208,"&gt;=12",集計アシストシート!$J$9:$J$208,"&lt;24",集計アシストシート!$I$9:$I$208,"")</f>
        <v>0</v>
      </c>
      <c r="AF357" s="551" t="s">
        <v>0</v>
      </c>
      <c r="AG357" s="545">
        <f>COUNTIFS(集計アシストシート!$D$9:$D$208,"非正規",集計アシストシート!$E$9:$E$208,"女",集計アシストシート!$G$9:$G$208,"&gt;=30",集計アシストシート!$G$9:$G$208,"&lt;40",集計アシストシート!$J$9:$J$208,"&gt;=24",集計アシストシート!$J$9:$J$208,"&lt;36",集計アシストシート!$I$9:$I$208,"")</f>
        <v>0</v>
      </c>
      <c r="AH357" s="551" t="s">
        <v>0</v>
      </c>
      <c r="AI357" s="545">
        <f>COUNTIFS(集計アシストシート!$D$9:$D$208,"非正規",集計アシストシート!$E$9:$E$208,"女",集計アシストシート!$G$9:$G$208,"&gt;=30",集計アシストシート!$G$9:$G$208,"&lt;40",集計アシストシート!$J$9:$J$208,"&gt;=36",集計アシストシート!$J$9:$J$208,"&lt;48",集計アシストシート!$I$9:$I$208,"")</f>
        <v>0</v>
      </c>
      <c r="AJ357" s="551" t="s">
        <v>0</v>
      </c>
      <c r="AK357" s="545">
        <f>COUNTIFS(集計アシストシート!$D$9:$D$208,"非正規",集計アシストシート!$E$9:$E$208,"女",集計アシストシート!$G$9:$G$208,"&gt;=30",集計アシストシート!$G$9:$G$208,"&lt;40",集計アシストシート!$J$9:$J$208,"&gt;=48",集計アシストシート!$J$9:$J$208,"&lt;60",集計アシストシート!$I$9:$I$208,"")</f>
        <v>0</v>
      </c>
      <c r="AL357" s="551" t="s">
        <v>0</v>
      </c>
      <c r="AM357" s="545">
        <f>COUNTIFS(集計アシストシート!$D$9:$D$208,"非正規",集計アシストシート!$E$9:$E$208,"女",集計アシストシート!$G$9:$G$208,"&gt;=30",集計アシストシート!$G$9:$G$208,"&lt;40",集計アシストシート!$J$9:$J$208,"&gt;=60",集計アシストシート!$J$9:$J$208,"&lt;120",集計アシストシート!$I$9:$I$208,"")</f>
        <v>0</v>
      </c>
      <c r="AN357" s="551" t="s">
        <v>0</v>
      </c>
      <c r="AO357" s="545">
        <f>COUNTIFS(集計アシストシート!$D$9:$D$208,"非正規",集計アシストシート!$E$9:$E$208,"女",集計アシストシート!$G$9:$G$208,"&gt;=30",集計アシストシート!$G$9:$G$208,"&lt;40",集計アシストシート!$J$9:$J$208,"&gt;=120",集計アシストシート!$I$9:$I$208,"")</f>
        <v>0</v>
      </c>
      <c r="AP357" s="552" t="s">
        <v>0</v>
      </c>
      <c r="AQ357" s="553">
        <f t="shared" si="10"/>
        <v>0</v>
      </c>
      <c r="AR357" s="554" t="s">
        <v>71</v>
      </c>
    </row>
    <row r="358" spans="1:48" ht="27" customHeight="1" x14ac:dyDescent="0.15">
      <c r="A358" s="1020"/>
      <c r="B358" s="1123"/>
      <c r="C358" s="712" t="s">
        <v>204</v>
      </c>
      <c r="D358" s="713"/>
      <c r="E358" s="713"/>
      <c r="F358" s="107"/>
      <c r="G358" s="108" t="s">
        <v>0</v>
      </c>
      <c r="H358" s="109"/>
      <c r="I358" s="108" t="s">
        <v>0</v>
      </c>
      <c r="J358" s="107"/>
      <c r="K358" s="108" t="s">
        <v>0</v>
      </c>
      <c r="L358" s="109"/>
      <c r="M358" s="108" t="s">
        <v>0</v>
      </c>
      <c r="N358" s="107"/>
      <c r="O358" s="108" t="s">
        <v>0</v>
      </c>
      <c r="P358" s="109"/>
      <c r="Q358" s="108" t="s">
        <v>0</v>
      </c>
      <c r="R358" s="109"/>
      <c r="S358" s="110" t="s">
        <v>0</v>
      </c>
      <c r="T358" s="111">
        <f t="shared" si="9"/>
        <v>0</v>
      </c>
      <c r="U358" s="119" t="s">
        <v>489</v>
      </c>
      <c r="W358" s="377" t="s">
        <v>1674</v>
      </c>
      <c r="X358" s="1436"/>
      <c r="Y358" s="1450"/>
      <c r="Z358" s="1460" t="s">
        <v>204</v>
      </c>
      <c r="AA358" s="1461"/>
      <c r="AB358" s="1461"/>
      <c r="AC358" s="545">
        <f>COUNTIFS(集計アシストシート!$D$9:$D$208,"非正規",集計アシストシート!$E$9:$E$208,"女",集計アシストシート!$G$9:$G$208,"&gt;=40",集計アシストシート!$G$9:$G$208,"&lt;50",集計アシストシート!$J$9:$J$208,"&lt;12",集計アシストシート!$I$9:$I$208,"")</f>
        <v>0</v>
      </c>
      <c r="AD358" s="551" t="s">
        <v>0</v>
      </c>
      <c r="AE358" s="545">
        <f>COUNTIFS(集計アシストシート!$D$9:$D$208,"非正規",集計アシストシート!$E$9:$E$208,"女",集計アシストシート!$G$9:$G$208,"&gt;=40",集計アシストシート!$G$9:$G$208,"&lt;50",集計アシストシート!$J$9:$J$208,"&gt;=12",集計アシストシート!$J$9:$J$208,"&lt;24",集計アシストシート!$I$9:$I$208,"")</f>
        <v>0</v>
      </c>
      <c r="AF358" s="551" t="s">
        <v>0</v>
      </c>
      <c r="AG358" s="545">
        <f>COUNTIFS(集計アシストシート!$D$9:$D$208,"非正規",集計アシストシート!$E$9:$E$208,"女",集計アシストシート!$G$9:$G$208,"&gt;=40",集計アシストシート!$G$9:$G$208,"&lt;50",集計アシストシート!$J$9:$J$208,"&gt;=24",集計アシストシート!$J$9:$J$208,"&lt;36",集計アシストシート!$I$9:$I$208,"")</f>
        <v>0</v>
      </c>
      <c r="AH358" s="551" t="s">
        <v>0</v>
      </c>
      <c r="AI358" s="545">
        <f>COUNTIFS(集計アシストシート!$D$9:$D$208,"非正規",集計アシストシート!$E$9:$E$208,"女",集計アシストシート!$G$9:$G$208,"&gt;=40",集計アシストシート!$G$9:$G$208,"&lt;50",集計アシストシート!$J$9:$J$208,"&gt;=36",集計アシストシート!$J$9:$J$208,"&lt;48",集計アシストシート!$I$9:$I$208,"")</f>
        <v>0</v>
      </c>
      <c r="AJ358" s="551" t="s">
        <v>0</v>
      </c>
      <c r="AK358" s="545">
        <f>COUNTIFS(集計アシストシート!$D$9:$D$208,"非正規",集計アシストシート!$E$9:$E$208,"女",集計アシストシート!$G$9:$G$208,"&gt;=40",集計アシストシート!$G$9:$G$208,"&lt;50",集計アシストシート!$J$9:$J$208,"&gt;=48",集計アシストシート!$J$9:$J$208,"&lt;60",集計アシストシート!$I$9:$I$208,"")</f>
        <v>0</v>
      </c>
      <c r="AL358" s="551" t="s">
        <v>0</v>
      </c>
      <c r="AM358" s="545">
        <f>COUNTIFS(集計アシストシート!$D$9:$D$208,"非正規",集計アシストシート!$E$9:$E$208,"女",集計アシストシート!$G$9:$G$208,"&gt;=40",集計アシストシート!$G$9:$G$208,"&lt;50",集計アシストシート!$J$9:$J$208,"&gt;=60",集計アシストシート!$J$9:$J$208,"&lt;120",集計アシストシート!$I$9:$I$208,"")</f>
        <v>0</v>
      </c>
      <c r="AN358" s="551" t="s">
        <v>0</v>
      </c>
      <c r="AO358" s="545">
        <f>COUNTIFS(集計アシストシート!$D$9:$D$208,"非正規",集計アシストシート!$E$9:$E$208,"女",集計アシストシート!$G$9:$G$208,"&gt;=40",集計アシストシート!$G$9:$G$208,"&lt;50",集計アシストシート!$J$9:$J$208,"&gt;=120",集計アシストシート!$I$9:$I$208,"")</f>
        <v>0</v>
      </c>
      <c r="AP358" s="552" t="s">
        <v>0</v>
      </c>
      <c r="AQ358" s="553">
        <f t="shared" si="10"/>
        <v>0</v>
      </c>
      <c r="AR358" s="554" t="s">
        <v>71</v>
      </c>
    </row>
    <row r="359" spans="1:48" ht="27" customHeight="1" x14ac:dyDescent="0.15">
      <c r="A359" s="1020"/>
      <c r="B359" s="1123"/>
      <c r="C359" s="712" t="s">
        <v>205</v>
      </c>
      <c r="D359" s="713"/>
      <c r="E359" s="713"/>
      <c r="F359" s="107"/>
      <c r="G359" s="108" t="s">
        <v>0</v>
      </c>
      <c r="H359" s="109"/>
      <c r="I359" s="108" t="s">
        <v>0</v>
      </c>
      <c r="J359" s="107"/>
      <c r="K359" s="108" t="s">
        <v>0</v>
      </c>
      <c r="L359" s="109"/>
      <c r="M359" s="108" t="s">
        <v>0</v>
      </c>
      <c r="N359" s="107"/>
      <c r="O359" s="108" t="s">
        <v>0</v>
      </c>
      <c r="P359" s="109"/>
      <c r="Q359" s="108" t="s">
        <v>0</v>
      </c>
      <c r="R359" s="109"/>
      <c r="S359" s="110" t="s">
        <v>0</v>
      </c>
      <c r="T359" s="111">
        <f t="shared" si="9"/>
        <v>0</v>
      </c>
      <c r="U359" s="119" t="s">
        <v>489</v>
      </c>
      <c r="W359" s="377" t="s">
        <v>1674</v>
      </c>
      <c r="X359" s="1436"/>
      <c r="Y359" s="1450"/>
      <c r="Z359" s="1460" t="s">
        <v>205</v>
      </c>
      <c r="AA359" s="1461"/>
      <c r="AB359" s="1461"/>
      <c r="AC359" s="545">
        <f>COUNTIFS(集計アシストシート!$D$9:$D$208,"非正規",集計アシストシート!$E$9:$E$208,"女",集計アシストシート!$G$9:$G$208,"&gt;=50",集計アシストシート!$G$9:$G$208,"&lt;60",集計アシストシート!$J$9:$J$208,"&lt;12",集計アシストシート!$I$9:$I$208,"")</f>
        <v>0</v>
      </c>
      <c r="AD359" s="551" t="s">
        <v>0</v>
      </c>
      <c r="AE359" s="545">
        <f>COUNTIFS(集計アシストシート!$D$9:$D$208,"非正規",集計アシストシート!$E$9:$E$208,"女",集計アシストシート!$G$9:$G$208,"&gt;=50",集計アシストシート!$G$9:$G$208,"&lt;60",集計アシストシート!$J$9:$J$208,"&gt;=12",集計アシストシート!$J$9:$J$208,"&lt;24",集計アシストシート!$I$9:$I$208,"")</f>
        <v>0</v>
      </c>
      <c r="AF359" s="551" t="s">
        <v>0</v>
      </c>
      <c r="AG359" s="545">
        <f>COUNTIFS(集計アシストシート!$D$9:$D$208,"非正規",集計アシストシート!$E$9:$E$208,"女",集計アシストシート!$G$9:$G$208,"&gt;=50",集計アシストシート!$G$9:$G$208,"&lt;60",集計アシストシート!$J$9:$J$208,"&gt;=24",集計アシストシート!$J$9:$J$208,"&lt;36",集計アシストシート!$I$9:$I$208,"")</f>
        <v>0</v>
      </c>
      <c r="AH359" s="551" t="s">
        <v>0</v>
      </c>
      <c r="AI359" s="545">
        <f>COUNTIFS(集計アシストシート!$D$9:$D$208,"非正規",集計アシストシート!$E$9:$E$208,"女",集計アシストシート!$G$9:$G$208,"&gt;=50",集計アシストシート!$G$9:$G$208,"&lt;60",集計アシストシート!$J$9:$J$208,"&gt;=36",集計アシストシート!$J$9:$J$208,"&lt;48",集計アシストシート!$I$9:$I$208,"")</f>
        <v>0</v>
      </c>
      <c r="AJ359" s="551" t="s">
        <v>0</v>
      </c>
      <c r="AK359" s="545">
        <f>COUNTIFS(集計アシストシート!$D$9:$D$208,"非正規",集計アシストシート!$E$9:$E$208,"女",集計アシストシート!$G$9:$G$208,"&gt;=50",集計アシストシート!$G$9:$G$208,"&lt;60",集計アシストシート!$J$9:$J$208,"&gt;=48",集計アシストシート!$J$9:$J$208,"&lt;60",集計アシストシート!$I$9:$I$208,"")</f>
        <v>0</v>
      </c>
      <c r="AL359" s="551" t="s">
        <v>0</v>
      </c>
      <c r="AM359" s="545">
        <f>COUNTIFS(集計アシストシート!$D$9:$D$208,"非正規",集計アシストシート!$E$9:$E$208,"女",集計アシストシート!$G$9:$G$208,"&gt;=50",集計アシストシート!$G$9:$G$208,"&lt;60",集計アシストシート!$J$9:$J$208,"&gt;=60",集計アシストシート!$J$9:$J$208,"&lt;120",集計アシストシート!$I$9:$I$208,"")</f>
        <v>0</v>
      </c>
      <c r="AN359" s="551" t="s">
        <v>0</v>
      </c>
      <c r="AO359" s="545">
        <f>COUNTIFS(集計アシストシート!$D$9:$D$208,"非正規",集計アシストシート!$E$9:$E$208,"女",集計アシストシート!$G$9:$G$208,"&gt;=50",集計アシストシート!$G$9:$G$208,"&lt;60",集計アシストシート!$J$9:$J$208,"&gt;=120",集計アシストシート!$I$9:$I$208,"")</f>
        <v>0</v>
      </c>
      <c r="AP359" s="552" t="s">
        <v>0</v>
      </c>
      <c r="AQ359" s="553">
        <f t="shared" si="10"/>
        <v>0</v>
      </c>
      <c r="AR359" s="554" t="s">
        <v>71</v>
      </c>
    </row>
    <row r="360" spans="1:48" ht="27" customHeight="1" thickBot="1" x14ac:dyDescent="0.2">
      <c r="A360" s="1020"/>
      <c r="B360" s="1123"/>
      <c r="C360" s="836" t="s">
        <v>206</v>
      </c>
      <c r="D360" s="837"/>
      <c r="E360" s="837"/>
      <c r="F360" s="112"/>
      <c r="G360" s="113" t="s">
        <v>0</v>
      </c>
      <c r="H360" s="114"/>
      <c r="I360" s="113" t="s">
        <v>0</v>
      </c>
      <c r="J360" s="112"/>
      <c r="K360" s="113" t="s">
        <v>0</v>
      </c>
      <c r="L360" s="114"/>
      <c r="M360" s="113" t="s">
        <v>0</v>
      </c>
      <c r="N360" s="112"/>
      <c r="O360" s="113" t="s">
        <v>0</v>
      </c>
      <c r="P360" s="114"/>
      <c r="Q360" s="113" t="s">
        <v>0</v>
      </c>
      <c r="R360" s="114"/>
      <c r="S360" s="115" t="s">
        <v>0</v>
      </c>
      <c r="T360" s="116">
        <f t="shared" si="9"/>
        <v>0</v>
      </c>
      <c r="U360" s="120" t="s">
        <v>489</v>
      </c>
      <c r="W360" s="377" t="s">
        <v>1674</v>
      </c>
      <c r="X360" s="1436"/>
      <c r="Y360" s="1450"/>
      <c r="Z360" s="1462" t="s">
        <v>206</v>
      </c>
      <c r="AA360" s="1463"/>
      <c r="AB360" s="1463"/>
      <c r="AC360" s="545">
        <f>COUNTIFS(集計アシストシート!$D$9:$D$208,"非正規",集計アシストシート!$E$9:$E$208,"女",集計アシストシート!$G$9:$G$208,"&gt;=60",集計アシストシート!$J$9:$J$208,"&lt;12",集計アシストシート!$I$9:$I$208,"")</f>
        <v>0</v>
      </c>
      <c r="AD360" s="555" t="s">
        <v>0</v>
      </c>
      <c r="AE360" s="545">
        <f>COUNTIFS(集計アシストシート!$D$9:$D$208,"非正規",集計アシストシート!$E$9:$E$208,"女",集計アシストシート!$G$9:$G$208,"&gt;=60",集計アシストシート!$J$9:$J$208,"&gt;=12",集計アシストシート!$J$9:$J$208,"&lt;24",集計アシストシート!$I$9:$I$208,"")</f>
        <v>0</v>
      </c>
      <c r="AF360" s="555" t="s">
        <v>0</v>
      </c>
      <c r="AG360" s="545">
        <f>COUNTIFS(集計アシストシート!$D$9:$D$208,"非正規",集計アシストシート!$E$9:$E$208,"女",集計アシストシート!$G$9:$G$208,"&gt;=60",集計アシストシート!$J$9:$J$208,"&gt;=24",集計アシストシート!$J$9:$J$208,"&lt;36",集計アシストシート!$I$9:$I$208,"")</f>
        <v>0</v>
      </c>
      <c r="AH360" s="555" t="s">
        <v>0</v>
      </c>
      <c r="AI360" s="545">
        <f>COUNTIFS(集計アシストシート!$D$9:$D$208,"非正規",集計アシストシート!$E$9:$E$208,"女",集計アシストシート!$G$9:$G$208,"&gt;=60",集計アシストシート!$J$9:$J$208,"&gt;=36",集計アシストシート!$J$9:$J$208,"&lt;48",集計アシストシート!$I$9:$I$208,"")</f>
        <v>0</v>
      </c>
      <c r="AJ360" s="555" t="s">
        <v>0</v>
      </c>
      <c r="AK360" s="545">
        <f>COUNTIFS(集計アシストシート!$D$9:$D$208,"非正規",集計アシストシート!$E$9:$E$208,"女",集計アシストシート!$G$9:$G$208,"&gt;=60",集計アシストシート!$J$9:$J$208,"&gt;=48",集計アシストシート!$J$9:$J$208,"&lt;60",集計アシストシート!$I$9:$I$208,"")</f>
        <v>0</v>
      </c>
      <c r="AL360" s="555" t="s">
        <v>0</v>
      </c>
      <c r="AM360" s="545">
        <f>COUNTIFS(集計アシストシート!$D$9:$D$208,"非正規",集計アシストシート!$E$9:$E$208,"女",集計アシストシート!$G$9:$G$208,"&gt;=60",集計アシストシート!$J$9:$J$208,"&gt;=60",集計アシストシート!$J$9:$J$208,"&lt;120",集計アシストシート!$I$9:$I$208,"")</f>
        <v>0</v>
      </c>
      <c r="AN360" s="555" t="s">
        <v>0</v>
      </c>
      <c r="AO360" s="545">
        <f>COUNTIFS(集計アシストシート!$D$9:$D$208,"非正規",集計アシストシート!$E$9:$E$208,"女",集計アシストシート!$G$9:$G$208,"&gt;=60",集計アシストシート!$J$9:$J$208,"&gt;=120",集計アシストシート!$I$9:$I$208,"")</f>
        <v>0</v>
      </c>
      <c r="AP360" s="556" t="s">
        <v>0</v>
      </c>
      <c r="AQ360" s="557">
        <f t="shared" si="10"/>
        <v>0</v>
      </c>
      <c r="AR360" s="558" t="s">
        <v>71</v>
      </c>
    </row>
    <row r="361" spans="1:48" ht="27" customHeight="1" thickTop="1" x14ac:dyDescent="0.15">
      <c r="A361" s="1021"/>
      <c r="B361" s="1124"/>
      <c r="C361" s="838" t="s">
        <v>410</v>
      </c>
      <c r="D361" s="839"/>
      <c r="E361" s="839"/>
      <c r="F361" s="121" t="str">
        <f>IF(F355+F356+F357+F358+F359+F360=0,"",F355+F356+F357+F358+F359+F360)</f>
        <v/>
      </c>
      <c r="G361" s="121" t="s">
        <v>0</v>
      </c>
      <c r="H361" s="501" t="str">
        <f>IF(H355+H356+H357+H358+H359+H360=0,"",H355+H356+H357+H358+H359+H360)</f>
        <v/>
      </c>
      <c r="I361" s="122" t="s">
        <v>0</v>
      </c>
      <c r="J361" s="121" t="str">
        <f>IF(J355+J356+J357+J358+J359+J360=0,"",J355+J356+J357+J358+J359+J360)</f>
        <v/>
      </c>
      <c r="K361" s="121" t="s">
        <v>0</v>
      </c>
      <c r="L361" s="501" t="str">
        <f>IF(L355+L356+L357+L358+L359+L360=0,"",L355+L356+L357+L358+L359+L360)</f>
        <v/>
      </c>
      <c r="M361" s="122" t="s">
        <v>0</v>
      </c>
      <c r="N361" s="121" t="str">
        <f>IF(N355+N356+N357+N358+N359+N360=0,"",N355+N356+N357+N358+N359+N360)</f>
        <v/>
      </c>
      <c r="O361" s="121" t="s">
        <v>0</v>
      </c>
      <c r="P361" s="501" t="str">
        <f>IF(P355+P356+P357+P358+P359+P360=0,"",P355+P356+P357+P358+P359+P360)</f>
        <v/>
      </c>
      <c r="Q361" s="122" t="s">
        <v>0</v>
      </c>
      <c r="R361" s="501" t="str">
        <f>IF(R355+R356+R357+R358+R359+R360=0,"",R355+R356+R357+R358+R359+R360)</f>
        <v/>
      </c>
      <c r="S361" s="121" t="s">
        <v>0</v>
      </c>
      <c r="T361" s="123">
        <f t="shared" si="9"/>
        <v>0</v>
      </c>
      <c r="U361" s="124" t="s">
        <v>489</v>
      </c>
      <c r="W361" s="377" t="s">
        <v>1674</v>
      </c>
      <c r="X361" s="1437"/>
      <c r="Y361" s="1451"/>
      <c r="Z361" s="1464" t="s">
        <v>410</v>
      </c>
      <c r="AA361" s="1465"/>
      <c r="AB361" s="1465"/>
      <c r="AC361" s="559" t="str">
        <f>IF(AC355+AC356+AC357+AC358+AC359+AC360=0,"",AC355+AC356+AC357+AC358+AC359+AC360)</f>
        <v/>
      </c>
      <c r="AD361" s="559" t="s">
        <v>0</v>
      </c>
      <c r="AE361" s="560" t="str">
        <f>IF(AE355+AE356+AE357+AE358+AE359+AE360=0,"",AE355+AE356+AE357+AE358+AE359+AE360)</f>
        <v/>
      </c>
      <c r="AF361" s="561" t="s">
        <v>0</v>
      </c>
      <c r="AG361" s="559" t="str">
        <f>IF(AG355+AG356+AG357+AG358+AG359+AG360=0,"",AG355+AG356+AG357+AG358+AG359+AG360)</f>
        <v/>
      </c>
      <c r="AH361" s="559" t="s">
        <v>0</v>
      </c>
      <c r="AI361" s="560" t="str">
        <f>IF(AI355+AI356+AI357+AI358+AI359+AI360=0,"",AI355+AI356+AI357+AI358+AI359+AI360)</f>
        <v/>
      </c>
      <c r="AJ361" s="561" t="s">
        <v>0</v>
      </c>
      <c r="AK361" s="559" t="str">
        <f>IF(AK355+AK356+AK357+AK358+AK359+AK360=0,"",AK355+AK356+AK357+AK358+AK359+AK360)</f>
        <v/>
      </c>
      <c r="AL361" s="559" t="s">
        <v>0</v>
      </c>
      <c r="AM361" s="560" t="str">
        <f>IF(AM355+AM356+AM357+AM358+AM359+AM360=0,"",AM355+AM356+AM357+AM358+AM359+AM360)</f>
        <v/>
      </c>
      <c r="AN361" s="561" t="s">
        <v>0</v>
      </c>
      <c r="AO361" s="560" t="str">
        <f>IF(AO355+AO356+AO357+AO358+AO359+AO360=0,"",AO355+AO356+AO357+AO358+AO359+AO360)</f>
        <v/>
      </c>
      <c r="AP361" s="559" t="s">
        <v>0</v>
      </c>
      <c r="AQ361" s="562">
        <f t="shared" si="10"/>
        <v>0</v>
      </c>
      <c r="AR361" s="563" t="s">
        <v>71</v>
      </c>
    </row>
    <row r="362" spans="1:48" s="38" customFormat="1" ht="13.5" customHeight="1" x14ac:dyDescent="0.15">
      <c r="B362" s="453"/>
      <c r="C362" s="453"/>
      <c r="D362" s="453"/>
      <c r="E362" s="453"/>
      <c r="F362" s="453"/>
      <c r="G362" s="453"/>
      <c r="H362" s="453"/>
      <c r="I362" s="453"/>
      <c r="J362" s="453"/>
      <c r="K362" s="453"/>
      <c r="L362" s="453"/>
      <c r="M362" s="453"/>
      <c r="N362" s="453"/>
      <c r="O362" s="453"/>
      <c r="P362" s="453"/>
      <c r="Q362" s="453"/>
      <c r="R362" s="453"/>
      <c r="S362" s="453"/>
      <c r="T362" s="453"/>
      <c r="U362" s="36"/>
      <c r="W362" s="378"/>
      <c r="X362" s="378"/>
      <c r="Y362" s="378"/>
      <c r="Z362" s="378"/>
      <c r="AA362" s="378"/>
      <c r="AB362" s="378"/>
      <c r="AC362" s="378"/>
      <c r="AD362" s="378"/>
      <c r="AE362" s="378"/>
      <c r="AF362" s="378"/>
      <c r="AG362" s="378"/>
      <c r="AH362" s="378"/>
      <c r="AI362" s="378"/>
      <c r="AJ362" s="378"/>
      <c r="AK362" s="378"/>
      <c r="AL362" s="378"/>
      <c r="AM362" s="378"/>
      <c r="AN362" s="378"/>
      <c r="AO362" s="378"/>
      <c r="AP362" s="378"/>
      <c r="AQ362" s="378"/>
      <c r="AR362" s="378"/>
      <c r="AS362" s="378"/>
      <c r="AT362" s="378"/>
    </row>
    <row r="363" spans="1:48" s="38" customFormat="1" ht="13.5" customHeight="1" x14ac:dyDescent="0.15">
      <c r="B363" s="453"/>
      <c r="C363" s="453"/>
      <c r="D363" s="453"/>
      <c r="E363" s="453"/>
      <c r="F363" s="453"/>
      <c r="G363" s="453"/>
      <c r="H363" s="453"/>
      <c r="I363" s="453"/>
      <c r="J363" s="453"/>
      <c r="K363" s="453"/>
      <c r="L363" s="453"/>
      <c r="M363" s="453"/>
      <c r="N363" s="453"/>
      <c r="O363" s="453"/>
      <c r="P363" s="453"/>
      <c r="Q363" s="453"/>
      <c r="R363" s="453"/>
      <c r="S363" s="453"/>
      <c r="T363" s="453"/>
      <c r="U363" s="36"/>
      <c r="W363" s="378"/>
      <c r="X363" s="378"/>
      <c r="Y363" s="378"/>
      <c r="Z363" s="378"/>
      <c r="AA363" s="378"/>
      <c r="AB363" s="378"/>
      <c r="AC363" s="378"/>
      <c r="AD363" s="378"/>
      <c r="AE363" s="378"/>
      <c r="AF363" s="378"/>
      <c r="AG363" s="378"/>
      <c r="AH363" s="378"/>
      <c r="AI363" s="378"/>
      <c r="AJ363" s="378"/>
      <c r="AK363" s="378"/>
      <c r="AL363" s="378"/>
      <c r="AM363" s="378"/>
      <c r="AN363" s="378"/>
      <c r="AO363" s="378"/>
      <c r="AP363" s="378"/>
      <c r="AQ363" s="378"/>
      <c r="AR363" s="378"/>
      <c r="AS363" s="378"/>
      <c r="AT363" s="378"/>
    </row>
    <row r="364" spans="1:48" ht="27" customHeight="1" x14ac:dyDescent="0.15">
      <c r="A364" s="1220" t="s">
        <v>1772</v>
      </c>
      <c r="B364" s="1220"/>
      <c r="C364" s="1220"/>
      <c r="D364" s="1220"/>
      <c r="E364" s="1220"/>
      <c r="F364" s="1220"/>
      <c r="G364" s="1220"/>
      <c r="H364" s="1220"/>
      <c r="I364" s="1220"/>
      <c r="L364" s="54"/>
      <c r="M364" s="54"/>
      <c r="O364" s="55"/>
      <c r="P364" s="55"/>
      <c r="Q364" s="55"/>
    </row>
    <row r="365" spans="1:48" ht="13.5" customHeight="1" x14ac:dyDescent="0.15">
      <c r="A365" s="55" t="s">
        <v>110</v>
      </c>
      <c r="B365" s="55" t="s">
        <v>1792</v>
      </c>
      <c r="C365" s="55"/>
      <c r="O365" s="55"/>
      <c r="P365" s="55"/>
      <c r="Q365" s="55"/>
      <c r="R365" s="55"/>
      <c r="S365" s="55"/>
      <c r="T365" s="55"/>
    </row>
    <row r="366" spans="1:48" ht="27" customHeight="1" x14ac:dyDescent="0.15">
      <c r="A366" s="55"/>
      <c r="B366" s="416"/>
      <c r="C366" s="417"/>
      <c r="D366" s="1115" t="s">
        <v>1458</v>
      </c>
      <c r="E366" s="1115"/>
      <c r="F366" s="1115"/>
      <c r="G366" s="1115"/>
      <c r="H366" s="1115" t="s">
        <v>1459</v>
      </c>
      <c r="I366" s="1115"/>
      <c r="J366" s="1115"/>
      <c r="K366" s="1115"/>
      <c r="L366" s="1412" t="s">
        <v>1471</v>
      </c>
      <c r="M366" s="1412"/>
      <c r="N366" s="1412"/>
      <c r="O366" s="1412"/>
      <c r="P366" s="1412" t="s">
        <v>1860</v>
      </c>
      <c r="Q366" s="1412"/>
      <c r="R366" s="1412"/>
      <c r="S366" s="1412"/>
      <c r="T366" s="1115" t="s">
        <v>1861</v>
      </c>
      <c r="U366" s="1115"/>
      <c r="V366" s="1115"/>
      <c r="W366" s="54"/>
      <c r="X366" s="54"/>
      <c r="AU366" s="377"/>
      <c r="AV366" s="377"/>
    </row>
    <row r="367" spans="1:48" ht="27" customHeight="1" x14ac:dyDescent="0.15">
      <c r="A367" s="55"/>
      <c r="B367" s="731" t="s">
        <v>1482</v>
      </c>
      <c r="C367" s="731"/>
      <c r="D367" s="1398"/>
      <c r="E367" s="1398"/>
      <c r="F367" s="1398"/>
      <c r="G367" s="1398"/>
      <c r="H367" s="1398"/>
      <c r="I367" s="1398"/>
      <c r="J367" s="1398"/>
      <c r="K367" s="1398"/>
      <c r="L367" s="1398"/>
      <c r="M367" s="1398"/>
      <c r="N367" s="1398"/>
      <c r="O367" s="1398"/>
      <c r="P367" s="1398"/>
      <c r="Q367" s="1398"/>
      <c r="R367" s="1398"/>
      <c r="S367" s="1398"/>
      <c r="T367" s="1399">
        <f>SUM(D367:S367)</f>
        <v>0</v>
      </c>
      <c r="U367" s="1399"/>
      <c r="V367" s="1399"/>
    </row>
    <row r="368" spans="1:48" ht="13.5" customHeight="1" thickBot="1" x14ac:dyDescent="0.2">
      <c r="A368" s="55"/>
      <c r="B368" s="55"/>
      <c r="C368" s="55"/>
      <c r="O368" s="55"/>
      <c r="P368" s="55"/>
      <c r="Q368" s="55"/>
      <c r="R368" s="55"/>
      <c r="S368" s="55"/>
      <c r="T368" s="55"/>
    </row>
    <row r="369" spans="1:44" ht="27" hidden="1" customHeight="1" x14ac:dyDescent="0.15">
      <c r="A369" s="1220" t="s">
        <v>1468</v>
      </c>
      <c r="B369" s="1220"/>
      <c r="C369" s="1220"/>
      <c r="D369" s="1220"/>
      <c r="E369" s="1220"/>
      <c r="F369" s="1220"/>
      <c r="G369" s="1220"/>
      <c r="H369" s="1220"/>
      <c r="I369" s="1220"/>
      <c r="J369" s="1220"/>
      <c r="K369" s="1220"/>
      <c r="L369" s="1220"/>
      <c r="M369" s="1220"/>
      <c r="N369" s="1220"/>
      <c r="O369" s="55"/>
      <c r="P369" s="55"/>
      <c r="Q369" s="55"/>
    </row>
    <row r="370" spans="1:44" ht="13.5" hidden="1" customHeight="1" x14ac:dyDescent="0.15">
      <c r="A370" s="55" t="s">
        <v>110</v>
      </c>
      <c r="B370" s="55" t="s">
        <v>1336</v>
      </c>
      <c r="C370" s="55"/>
      <c r="O370" s="55"/>
      <c r="P370" s="55"/>
      <c r="Q370" s="55"/>
      <c r="R370" s="55"/>
      <c r="S370" s="55"/>
      <c r="T370" s="55"/>
    </row>
    <row r="371" spans="1:44" ht="27" hidden="1" customHeight="1" x14ac:dyDescent="0.15">
      <c r="A371" s="99"/>
      <c r="B371" s="856"/>
      <c r="C371" s="1459"/>
      <c r="D371" s="1459"/>
      <c r="E371" s="1459"/>
      <c r="F371" s="1459"/>
      <c r="G371" s="1459"/>
      <c r="H371" s="1459"/>
      <c r="I371" s="1459"/>
      <c r="J371" s="857"/>
      <c r="O371" s="55"/>
      <c r="P371" s="55"/>
      <c r="Q371" s="55"/>
      <c r="R371" s="55"/>
    </row>
    <row r="372" spans="1:44" ht="13.5" hidden="1" customHeight="1" x14ac:dyDescent="0.15">
      <c r="A372" s="55" t="s">
        <v>1337</v>
      </c>
      <c r="B372" s="55" t="s">
        <v>1339</v>
      </c>
      <c r="C372" s="55"/>
      <c r="O372" s="55"/>
      <c r="P372" s="55"/>
      <c r="Q372" s="55"/>
      <c r="R372" s="55"/>
      <c r="S372" s="55"/>
      <c r="T372" s="55"/>
    </row>
    <row r="373" spans="1:44" ht="27" hidden="1" customHeight="1" x14ac:dyDescent="0.15">
      <c r="A373" s="99"/>
      <c r="B373" s="1183"/>
      <c r="C373" s="1183"/>
      <c r="D373" s="99" t="s">
        <v>1338</v>
      </c>
      <c r="E373" s="99"/>
      <c r="F373" s="99"/>
      <c r="G373" s="99"/>
      <c r="H373" s="99"/>
      <c r="I373" s="99"/>
      <c r="J373" s="99"/>
      <c r="O373" s="55"/>
      <c r="P373" s="55"/>
      <c r="Q373" s="55"/>
      <c r="R373" s="55"/>
    </row>
    <row r="374" spans="1:44" ht="13.5" hidden="1" customHeight="1" thickBot="1" x14ac:dyDescent="0.2">
      <c r="A374" s="55"/>
      <c r="B374" s="55"/>
      <c r="C374" s="55"/>
      <c r="O374" s="55"/>
      <c r="P374" s="55"/>
      <c r="Q374" s="55"/>
      <c r="R374" s="55"/>
      <c r="S374" s="55"/>
      <c r="T374" s="55"/>
    </row>
    <row r="375" spans="1:44" ht="27" customHeight="1" thickTop="1" thickBot="1" x14ac:dyDescent="0.2">
      <c r="A375" s="1157" t="s">
        <v>1469</v>
      </c>
      <c r="B375" s="1158"/>
      <c r="C375" s="1158"/>
      <c r="D375" s="1158"/>
      <c r="E375" s="1158"/>
      <c r="F375" s="1158"/>
      <c r="G375" s="1158"/>
      <c r="H375" s="1158"/>
      <c r="I375" s="1159"/>
      <c r="J375" s="91" t="s">
        <v>1793</v>
      </c>
      <c r="O375" s="55"/>
      <c r="P375" s="55"/>
      <c r="Q375" s="55"/>
      <c r="X375" s="1466" t="s">
        <v>1469</v>
      </c>
      <c r="Y375" s="1467"/>
      <c r="Z375" s="1467"/>
      <c r="AA375" s="1467"/>
      <c r="AB375" s="1467"/>
      <c r="AC375" s="1467"/>
      <c r="AD375" s="1467"/>
      <c r="AE375" s="1467"/>
      <c r="AF375" s="1468"/>
      <c r="AG375" s="396" t="s">
        <v>1793</v>
      </c>
      <c r="AH375" s="382"/>
      <c r="AI375" s="382"/>
      <c r="AJ375" s="382"/>
      <c r="AK375" s="382"/>
      <c r="AL375" s="382"/>
      <c r="AM375" s="382"/>
      <c r="AN375" s="382"/>
    </row>
    <row r="376" spans="1:44" ht="13.5" customHeight="1" thickTop="1" x14ac:dyDescent="0.15">
      <c r="A376" s="55" t="s">
        <v>110</v>
      </c>
      <c r="B376" s="447" t="s">
        <v>1481</v>
      </c>
      <c r="C376" s="26"/>
      <c r="D376" s="26"/>
      <c r="E376" s="26"/>
      <c r="F376" s="26"/>
      <c r="G376" s="26"/>
      <c r="H376" s="26"/>
      <c r="I376" s="26"/>
      <c r="J376" s="91"/>
      <c r="O376" s="55"/>
      <c r="P376" s="55"/>
      <c r="Q376" s="55"/>
      <c r="X376" s="382" t="s">
        <v>110</v>
      </c>
      <c r="Y376" s="388" t="s">
        <v>1481</v>
      </c>
      <c r="Z376" s="389"/>
      <c r="AA376" s="389"/>
      <c r="AB376" s="389"/>
      <c r="AC376" s="389"/>
      <c r="AD376" s="389"/>
      <c r="AE376" s="389"/>
      <c r="AF376" s="389"/>
      <c r="AG376" s="396"/>
      <c r="AH376" s="382"/>
      <c r="AI376" s="382"/>
      <c r="AJ376" s="382"/>
      <c r="AK376" s="382"/>
      <c r="AL376" s="382"/>
      <c r="AM376" s="382"/>
      <c r="AN376" s="382"/>
    </row>
    <row r="377" spans="1:44" ht="13.5" customHeight="1" x14ac:dyDescent="0.15">
      <c r="A377" s="55" t="s">
        <v>110</v>
      </c>
      <c r="B377" s="55" t="s">
        <v>1794</v>
      </c>
      <c r="C377" s="55"/>
      <c r="O377" s="55"/>
      <c r="P377" s="55"/>
      <c r="Q377" s="55"/>
      <c r="R377" s="55"/>
      <c r="S377" s="55"/>
      <c r="T377" s="55"/>
      <c r="X377" s="382" t="s">
        <v>110</v>
      </c>
      <c r="Y377" s="382" t="s">
        <v>1794</v>
      </c>
      <c r="Z377" s="382"/>
      <c r="AA377" s="382"/>
      <c r="AB377" s="382"/>
      <c r="AC377" s="382"/>
      <c r="AD377" s="382"/>
      <c r="AE377" s="382"/>
      <c r="AF377" s="382"/>
      <c r="AG377" s="382"/>
      <c r="AH377" s="382"/>
      <c r="AI377" s="382"/>
      <c r="AJ377" s="382"/>
      <c r="AK377" s="382"/>
      <c r="AL377" s="382"/>
      <c r="AM377" s="382"/>
      <c r="AN377" s="382"/>
      <c r="AO377" s="382"/>
      <c r="AP377" s="382"/>
      <c r="AQ377" s="382"/>
    </row>
    <row r="378" spans="1:44" ht="13.5" customHeight="1" x14ac:dyDescent="0.15">
      <c r="A378" s="54" t="s">
        <v>110</v>
      </c>
      <c r="B378" s="763" t="s">
        <v>1478</v>
      </c>
      <c r="C378" s="763"/>
      <c r="D378" s="763"/>
      <c r="E378" s="763"/>
      <c r="F378" s="763"/>
      <c r="G378" s="763"/>
      <c r="H378" s="763"/>
      <c r="I378" s="763"/>
      <c r="J378" s="763"/>
      <c r="K378" s="763"/>
      <c r="L378" s="763"/>
      <c r="M378" s="763"/>
      <c r="N378" s="763"/>
      <c r="O378" s="763"/>
      <c r="P378" s="763"/>
      <c r="Q378" s="763"/>
      <c r="R378" s="763"/>
      <c r="S378" s="763"/>
      <c r="T378" s="763"/>
      <c r="U378" s="763"/>
      <c r="X378" s="377" t="s">
        <v>110</v>
      </c>
      <c r="Y378" s="1469" t="s">
        <v>1478</v>
      </c>
      <c r="Z378" s="1469"/>
      <c r="AA378" s="1469"/>
      <c r="AB378" s="1469"/>
      <c r="AC378" s="1469"/>
      <c r="AD378" s="1469"/>
      <c r="AE378" s="1469"/>
      <c r="AF378" s="1469"/>
      <c r="AG378" s="1469"/>
      <c r="AH378" s="1469"/>
      <c r="AI378" s="1469"/>
      <c r="AJ378" s="1469"/>
      <c r="AK378" s="1469"/>
      <c r="AL378" s="1469"/>
      <c r="AM378" s="1469"/>
      <c r="AN378" s="1469"/>
      <c r="AO378" s="1469"/>
      <c r="AP378" s="1469"/>
      <c r="AQ378" s="1469"/>
      <c r="AR378" s="1469"/>
    </row>
    <row r="379" spans="1:44" ht="13.5" customHeight="1" x14ac:dyDescent="0.15">
      <c r="B379" s="763"/>
      <c r="C379" s="763"/>
      <c r="D379" s="763"/>
      <c r="E379" s="763"/>
      <c r="F379" s="763"/>
      <c r="G379" s="763"/>
      <c r="H379" s="763"/>
      <c r="I379" s="763"/>
      <c r="J379" s="763"/>
      <c r="K379" s="763"/>
      <c r="L379" s="763"/>
      <c r="M379" s="763"/>
      <c r="N379" s="763"/>
      <c r="O379" s="763"/>
      <c r="P379" s="763"/>
      <c r="Q379" s="763"/>
      <c r="R379" s="763"/>
      <c r="S379" s="763"/>
      <c r="T379" s="763"/>
      <c r="U379" s="763"/>
      <c r="Y379" s="1469"/>
      <c r="Z379" s="1469"/>
      <c r="AA379" s="1469"/>
      <c r="AB379" s="1469"/>
      <c r="AC379" s="1469"/>
      <c r="AD379" s="1469"/>
      <c r="AE379" s="1469"/>
      <c r="AF379" s="1469"/>
      <c r="AG379" s="1469"/>
      <c r="AH379" s="1469"/>
      <c r="AI379" s="1469"/>
      <c r="AJ379" s="1469"/>
      <c r="AK379" s="1469"/>
      <c r="AL379" s="1469"/>
      <c r="AM379" s="1469"/>
      <c r="AN379" s="1469"/>
      <c r="AO379" s="1469"/>
      <c r="AP379" s="1469"/>
      <c r="AQ379" s="1469"/>
      <c r="AR379" s="1469"/>
    </row>
    <row r="380" spans="1:44" ht="13.5" customHeight="1" x14ac:dyDescent="0.15">
      <c r="A380" s="55" t="s">
        <v>110</v>
      </c>
      <c r="B380" s="763" t="s">
        <v>1480</v>
      </c>
      <c r="C380" s="763"/>
      <c r="D380" s="763"/>
      <c r="E380" s="763"/>
      <c r="F380" s="763"/>
      <c r="G380" s="763"/>
      <c r="H380" s="763"/>
      <c r="I380" s="763"/>
      <c r="J380" s="763"/>
      <c r="K380" s="763"/>
      <c r="L380" s="763"/>
      <c r="M380" s="763"/>
      <c r="N380" s="763"/>
      <c r="O380" s="763"/>
      <c r="P380" s="763"/>
      <c r="Q380" s="763"/>
      <c r="R380" s="763"/>
      <c r="S380" s="763"/>
      <c r="T380" s="763"/>
      <c r="U380" s="763"/>
      <c r="X380" s="382" t="s">
        <v>110</v>
      </c>
      <c r="Y380" s="1469" t="s">
        <v>1480</v>
      </c>
      <c r="Z380" s="1469"/>
      <c r="AA380" s="1469"/>
      <c r="AB380" s="1469"/>
      <c r="AC380" s="1469"/>
      <c r="AD380" s="1469"/>
      <c r="AE380" s="1469"/>
      <c r="AF380" s="1469"/>
      <c r="AG380" s="1469"/>
      <c r="AH380" s="1469"/>
      <c r="AI380" s="1469"/>
      <c r="AJ380" s="1469"/>
      <c r="AK380" s="1469"/>
      <c r="AL380" s="1469"/>
      <c r="AM380" s="1469"/>
      <c r="AN380" s="1469"/>
      <c r="AO380" s="1469"/>
      <c r="AP380" s="1469"/>
      <c r="AQ380" s="1469"/>
      <c r="AR380" s="1469"/>
    </row>
    <row r="381" spans="1:44" ht="13.5" customHeight="1" x14ac:dyDescent="0.15">
      <c r="A381" s="55"/>
      <c r="B381" s="763"/>
      <c r="C381" s="763"/>
      <c r="D381" s="763"/>
      <c r="E381" s="763"/>
      <c r="F381" s="763"/>
      <c r="G381" s="763"/>
      <c r="H381" s="763"/>
      <c r="I381" s="763"/>
      <c r="J381" s="763"/>
      <c r="K381" s="763"/>
      <c r="L381" s="763"/>
      <c r="M381" s="763"/>
      <c r="N381" s="763"/>
      <c r="O381" s="763"/>
      <c r="P381" s="763"/>
      <c r="Q381" s="763"/>
      <c r="R381" s="763"/>
      <c r="S381" s="763"/>
      <c r="T381" s="763"/>
      <c r="U381" s="763"/>
      <c r="X381" s="382"/>
      <c r="Y381" s="1469"/>
      <c r="Z381" s="1469"/>
      <c r="AA381" s="1469"/>
      <c r="AB381" s="1469"/>
      <c r="AC381" s="1469"/>
      <c r="AD381" s="1469"/>
      <c r="AE381" s="1469"/>
      <c r="AF381" s="1469"/>
      <c r="AG381" s="1469"/>
      <c r="AH381" s="1469"/>
      <c r="AI381" s="1469"/>
      <c r="AJ381" s="1469"/>
      <c r="AK381" s="1469"/>
      <c r="AL381" s="1469"/>
      <c r="AM381" s="1469"/>
      <c r="AN381" s="1469"/>
      <c r="AO381" s="1469"/>
      <c r="AP381" s="1469"/>
      <c r="AQ381" s="1469"/>
      <c r="AR381" s="1469"/>
    </row>
    <row r="382" spans="1:44" ht="13.5" customHeight="1" x14ac:dyDescent="0.15">
      <c r="A382" s="54" t="s">
        <v>110</v>
      </c>
      <c r="B382" s="55" t="s">
        <v>167</v>
      </c>
      <c r="C382" s="55"/>
      <c r="O382" s="55"/>
      <c r="P382" s="55"/>
      <c r="Q382" s="55"/>
      <c r="R382" s="55"/>
      <c r="S382" s="55"/>
      <c r="T382" s="55"/>
      <c r="X382" s="377" t="s">
        <v>110</v>
      </c>
      <c r="Y382" s="382" t="s">
        <v>167</v>
      </c>
      <c r="Z382" s="382"/>
      <c r="AA382" s="382"/>
      <c r="AB382" s="382"/>
      <c r="AC382" s="382"/>
      <c r="AD382" s="382"/>
      <c r="AE382" s="382"/>
      <c r="AF382" s="382"/>
      <c r="AG382" s="382"/>
      <c r="AH382" s="382"/>
      <c r="AI382" s="382"/>
      <c r="AJ382" s="382"/>
      <c r="AK382" s="382"/>
      <c r="AL382" s="382"/>
      <c r="AM382" s="382"/>
      <c r="AN382" s="382"/>
      <c r="AO382" s="382"/>
      <c r="AP382" s="382"/>
      <c r="AQ382" s="382"/>
    </row>
    <row r="383" spans="1:44" ht="13.5" customHeight="1" x14ac:dyDescent="0.15">
      <c r="B383" s="425"/>
      <c r="C383" s="425"/>
      <c r="D383" s="425"/>
      <c r="E383" s="425"/>
      <c r="F383" s="425"/>
      <c r="G383" s="425"/>
      <c r="H383" s="425"/>
      <c r="I383" s="425"/>
      <c r="J383" s="425"/>
      <c r="K383" s="425"/>
      <c r="L383" s="425"/>
      <c r="M383" s="425"/>
      <c r="N383" s="425"/>
      <c r="O383" s="425"/>
      <c r="P383" s="425"/>
      <c r="Q383" s="425"/>
      <c r="R383" s="425"/>
      <c r="S383" s="425"/>
      <c r="T383" s="425"/>
      <c r="U383" s="425"/>
      <c r="V383" s="425"/>
    </row>
    <row r="384" spans="1:44" ht="13.5" customHeight="1" x14ac:dyDescent="0.15">
      <c r="A384" s="55" t="s">
        <v>1265</v>
      </c>
      <c r="C384" s="55"/>
      <c r="O384" s="55"/>
      <c r="P384" s="55"/>
      <c r="Q384" s="55"/>
      <c r="R384" s="55"/>
      <c r="S384" s="55"/>
      <c r="T384" s="55"/>
      <c r="X384" s="382" t="s">
        <v>1265</v>
      </c>
      <c r="Z384" s="382"/>
      <c r="AA384" s="382"/>
      <c r="AB384" s="382"/>
      <c r="AC384" s="382"/>
      <c r="AD384" s="382"/>
      <c r="AE384" s="382"/>
      <c r="AF384" s="382"/>
      <c r="AG384" s="382"/>
      <c r="AH384" s="382"/>
      <c r="AI384" s="382"/>
      <c r="AJ384" s="382"/>
      <c r="AK384" s="382"/>
      <c r="AL384" s="382"/>
      <c r="AM384" s="382"/>
    </row>
    <row r="385" spans="1:44" ht="27" customHeight="1" x14ac:dyDescent="0.15">
      <c r="B385" s="1036" t="s">
        <v>208</v>
      </c>
      <c r="C385" s="1037"/>
      <c r="D385" s="1038"/>
      <c r="E385" s="728" t="s">
        <v>215</v>
      </c>
      <c r="F385" s="729"/>
      <c r="G385" s="729"/>
      <c r="H385" s="729"/>
      <c r="I385" s="729"/>
      <c r="J385" s="730"/>
      <c r="K385" s="844" t="s">
        <v>216</v>
      </c>
      <c r="L385" s="729"/>
      <c r="M385" s="729"/>
      <c r="N385" s="729"/>
      <c r="O385" s="729"/>
      <c r="P385" s="785"/>
      <c r="R385" s="798" t="s">
        <v>1476</v>
      </c>
      <c r="S385" s="799"/>
      <c r="T385" s="799"/>
      <c r="U385" s="799"/>
      <c r="V385" s="800"/>
      <c r="W385" s="390"/>
      <c r="Y385" s="1500" t="s">
        <v>208</v>
      </c>
      <c r="Z385" s="1501"/>
      <c r="AA385" s="1502"/>
      <c r="AB385" s="1506" t="s">
        <v>215</v>
      </c>
      <c r="AC385" s="1457"/>
      <c r="AD385" s="1457"/>
      <c r="AE385" s="1457"/>
      <c r="AF385" s="1457"/>
      <c r="AG385" s="1507"/>
      <c r="AH385" s="1456" t="s">
        <v>216</v>
      </c>
      <c r="AI385" s="1457"/>
      <c r="AJ385" s="1457"/>
      <c r="AK385" s="1457"/>
      <c r="AL385" s="1457"/>
      <c r="AM385" s="1458"/>
    </row>
    <row r="386" spans="1:44" ht="27" customHeight="1" x14ac:dyDescent="0.15">
      <c r="B386" s="1099"/>
      <c r="C386" s="1100"/>
      <c r="D386" s="1101"/>
      <c r="E386" s="1344" t="s">
        <v>116</v>
      </c>
      <c r="F386" s="1345"/>
      <c r="G386" s="1279"/>
      <c r="H386" s="1344" t="s">
        <v>117</v>
      </c>
      <c r="I386" s="1345"/>
      <c r="J386" s="1346"/>
      <c r="K386" s="832" t="s">
        <v>116</v>
      </c>
      <c r="L386" s="833"/>
      <c r="M386" s="833"/>
      <c r="N386" s="833" t="s">
        <v>117</v>
      </c>
      <c r="O386" s="833"/>
      <c r="P386" s="833"/>
      <c r="R386" s="801"/>
      <c r="S386" s="802"/>
      <c r="T386" s="802"/>
      <c r="U386" s="802"/>
      <c r="V386" s="803"/>
      <c r="W386" s="381"/>
      <c r="Y386" s="1503"/>
      <c r="Z386" s="1504"/>
      <c r="AA386" s="1505"/>
      <c r="AB386" s="1470" t="s">
        <v>116</v>
      </c>
      <c r="AC386" s="1471"/>
      <c r="AD386" s="1472"/>
      <c r="AE386" s="1470" t="s">
        <v>117</v>
      </c>
      <c r="AF386" s="1471"/>
      <c r="AG386" s="1473"/>
      <c r="AH386" s="1474" t="s">
        <v>116</v>
      </c>
      <c r="AI386" s="1475"/>
      <c r="AJ386" s="1475"/>
      <c r="AK386" s="1475" t="s">
        <v>117</v>
      </c>
      <c r="AL386" s="1475"/>
      <c r="AM386" s="1475"/>
    </row>
    <row r="387" spans="1:44" ht="27" customHeight="1" thickBot="1" x14ac:dyDescent="0.2">
      <c r="B387" s="1427" t="s">
        <v>119</v>
      </c>
      <c r="C387" s="1428"/>
      <c r="D387" s="1429"/>
      <c r="E387" s="1425"/>
      <c r="F387" s="1426"/>
      <c r="G387" s="456" t="s">
        <v>0</v>
      </c>
      <c r="H387" s="1425"/>
      <c r="I387" s="1426"/>
      <c r="J387" s="335" t="s">
        <v>0</v>
      </c>
      <c r="K387" s="1422"/>
      <c r="L387" s="1423"/>
      <c r="M387" s="332" t="s">
        <v>0</v>
      </c>
      <c r="N387" s="1424"/>
      <c r="O387" s="1423"/>
      <c r="P387" s="328" t="s">
        <v>0</v>
      </c>
      <c r="Q387" s="322" t="s">
        <v>1472</v>
      </c>
      <c r="R387" s="845"/>
      <c r="S387" s="846"/>
      <c r="T387" s="846"/>
      <c r="U387" s="846"/>
      <c r="V387" s="326" t="s">
        <v>1460</v>
      </c>
      <c r="W387" s="381"/>
      <c r="X387" s="377" t="s">
        <v>1674</v>
      </c>
      <c r="Y387" s="1476" t="s">
        <v>119</v>
      </c>
      <c r="Z387" s="1477"/>
      <c r="AA387" s="1478"/>
      <c r="AB387" s="1433">
        <f>COUNTIFS(集計アシストシート!$D$9:$D$208,"正規",集計アシストシート!$E$9:$E$208,"男",集計アシストシート!$G$9:$G$208,"&lt;=22",集計アシストシート!$J$9:$J$208,"&lt;12",集計アシストシート!$I$9:$I$208,"")</f>
        <v>0</v>
      </c>
      <c r="AC387" s="1434"/>
      <c r="AD387" s="564" t="s">
        <v>0</v>
      </c>
      <c r="AE387" s="1433">
        <f>COUNTIFS(集計アシストシート!$D$9:$D$208,"正規",集計アシストシート!$E$9:$E$208,"女",集計アシストシート!$G$9:$G$208,"&lt;=22",集計アシストシート!$J$9:$J$208,"&lt;12",集計アシストシート!$I$9:$I$208,"")</f>
        <v>0</v>
      </c>
      <c r="AF387" s="1434"/>
      <c r="AG387" s="565" t="s">
        <v>0</v>
      </c>
      <c r="AH387" s="1433">
        <f>COUNTIFS(集計アシストシート!$D$9:$D$208,"非正規",集計アシストシート!$E$9:$E$208,"男",集計アシストシート!$G$9:$G$208,"&lt;=22",集計アシストシート!$J$9:$J$208,"&lt;12",集計アシストシート!$I$9:$I$208,"")</f>
        <v>0</v>
      </c>
      <c r="AI387" s="1434"/>
      <c r="AJ387" s="564" t="s">
        <v>0</v>
      </c>
      <c r="AK387" s="1433">
        <f>COUNTIFS(集計アシストシート!$D$9:$D$208,"非正規",集計アシストシート!$E$9:$E$208,"女",集計アシストシート!$G$9:$G$208,"&lt;=22",集計アシストシート!$J$9:$J$208,"&lt;12",集計アシストシート!$I$9:$I$208,"")</f>
        <v>0</v>
      </c>
      <c r="AL387" s="1434"/>
      <c r="AM387" s="564" t="s">
        <v>0</v>
      </c>
    </row>
    <row r="388" spans="1:44" ht="27" customHeight="1" x14ac:dyDescent="0.15">
      <c r="B388" s="1138" t="s">
        <v>118</v>
      </c>
      <c r="C388" s="1139"/>
      <c r="D388" s="1140"/>
      <c r="E388" s="1152"/>
      <c r="F388" s="792"/>
      <c r="G388" s="333" t="s">
        <v>0</v>
      </c>
      <c r="H388" s="1152"/>
      <c r="I388" s="792"/>
      <c r="J388" s="336" t="s">
        <v>0</v>
      </c>
      <c r="K388" s="792"/>
      <c r="L388" s="792"/>
      <c r="M388" s="333" t="s">
        <v>0</v>
      </c>
      <c r="N388" s="1152"/>
      <c r="O388" s="792"/>
      <c r="P388" s="329" t="s">
        <v>0</v>
      </c>
      <c r="Q388" s="323" t="s">
        <v>1473</v>
      </c>
      <c r="R388" s="845"/>
      <c r="S388" s="846"/>
      <c r="T388" s="846"/>
      <c r="U388" s="846"/>
      <c r="V388" s="317" t="s">
        <v>1460</v>
      </c>
      <c r="W388" s="381"/>
      <c r="X388" s="377" t="s">
        <v>1675</v>
      </c>
      <c r="Y388" s="1430" t="s">
        <v>118</v>
      </c>
      <c r="Z388" s="1431"/>
      <c r="AA388" s="1432"/>
      <c r="AB388" s="1433">
        <f>COUNTIFS(集計アシストシート!$D$9:$D$208,"正規",集計アシストシート!$E$9:$E$208,"男",集計アシストシート!$G$9:$G$208,"&gt;22",集計アシストシート!$J$9:$J$208,"&lt;12",集計アシストシート!$I$9:$I$208,"")</f>
        <v>0</v>
      </c>
      <c r="AC388" s="1434"/>
      <c r="AD388" s="564" t="s">
        <v>0</v>
      </c>
      <c r="AE388" s="1433">
        <f>COUNTIFS(集計アシストシート!$D$9:$D$208,"正規",集計アシストシート!$E$9:$E$208,"女",集計アシストシート!$G$9:$G$208,"&gt;22",集計アシストシート!$J$9:$J$208,"&lt;12",集計アシストシート!$I$9:$I$208,"")</f>
        <v>0</v>
      </c>
      <c r="AF388" s="1434"/>
      <c r="AG388" s="565" t="s">
        <v>0</v>
      </c>
      <c r="AH388" s="1433">
        <f>COUNTIFS(集計アシストシート!$D$9:$D$208,"非正規",集計アシストシート!$E$9:$E$208,"男",集計アシストシート!$G$9:$G$208,"&gt;22",集計アシストシート!$J$9:$J$208,"&lt;12",集計アシストシート!$I$9:$I$208,"")</f>
        <v>0</v>
      </c>
      <c r="AI388" s="1434"/>
      <c r="AJ388" s="564" t="s">
        <v>0</v>
      </c>
      <c r="AK388" s="1433">
        <f>COUNTIFS(集計アシストシート!$D$9:$D$208,"非正規",集計アシストシート!$E$9:$E$208,"女",集計アシストシート!$G$9:$G$208,"&gt;22",集計アシストシート!$J$9:$J$208,"&lt;12",集計アシストシート!$I$9:$I$208,"")</f>
        <v>0</v>
      </c>
      <c r="AL388" s="1434"/>
      <c r="AM388" s="564" t="s">
        <v>0</v>
      </c>
    </row>
    <row r="389" spans="1:44" ht="27" customHeight="1" thickBot="1" x14ac:dyDescent="0.2">
      <c r="B389" s="1479" t="s">
        <v>207</v>
      </c>
      <c r="C389" s="1480"/>
      <c r="D389" s="1481"/>
      <c r="E389" s="1302"/>
      <c r="F389" s="1303"/>
      <c r="G389" s="334" t="s">
        <v>0</v>
      </c>
      <c r="H389" s="1302"/>
      <c r="I389" s="1303"/>
      <c r="J389" s="337" t="s">
        <v>0</v>
      </c>
      <c r="K389" s="1303"/>
      <c r="L389" s="1303"/>
      <c r="M389" s="334" t="s">
        <v>0</v>
      </c>
      <c r="N389" s="1302"/>
      <c r="O389" s="1303"/>
      <c r="P389" s="330" t="s">
        <v>0</v>
      </c>
      <c r="Q389" s="318"/>
      <c r="R389" s="804"/>
      <c r="S389" s="804"/>
      <c r="T389" s="804"/>
      <c r="U389" s="804"/>
      <c r="V389" s="95"/>
      <c r="W389" s="381"/>
    </row>
    <row r="390" spans="1:44" ht="27" customHeight="1" x14ac:dyDescent="0.15">
      <c r="B390" s="805" t="s">
        <v>1479</v>
      </c>
      <c r="C390" s="806"/>
      <c r="D390" s="807"/>
      <c r="E390" s="808"/>
      <c r="F390" s="809"/>
      <c r="G390" s="331" t="s">
        <v>0</v>
      </c>
      <c r="H390" s="808"/>
      <c r="I390" s="809"/>
      <c r="J390" s="338" t="s">
        <v>0</v>
      </c>
      <c r="K390" s="1413"/>
      <c r="L390" s="809"/>
      <c r="M390" s="331" t="s">
        <v>0</v>
      </c>
      <c r="N390" s="808"/>
      <c r="O390" s="809"/>
      <c r="P390" s="331" t="s">
        <v>0</v>
      </c>
      <c r="Q390" s="325" t="s">
        <v>1472</v>
      </c>
      <c r="R390" s="1379"/>
      <c r="S390" s="1380"/>
      <c r="T390" s="1380"/>
      <c r="U390" s="1380"/>
      <c r="V390" s="327" t="s">
        <v>1460</v>
      </c>
      <c r="W390" s="381"/>
    </row>
    <row r="391" spans="1:44" ht="13.5" customHeight="1" x14ac:dyDescent="0.15">
      <c r="B391" s="55"/>
      <c r="C391" s="55"/>
      <c r="Q391" s="324"/>
      <c r="R391" s="324"/>
      <c r="S391" s="324"/>
      <c r="T391" s="324"/>
      <c r="U391" s="324"/>
      <c r="V391" s="324"/>
      <c r="W391" s="381"/>
      <c r="X391" s="377" t="s">
        <v>1509</v>
      </c>
    </row>
    <row r="392" spans="1:44" ht="13.5" customHeight="1" x14ac:dyDescent="0.15">
      <c r="A392" s="55" t="s">
        <v>1679</v>
      </c>
      <c r="C392" s="55"/>
      <c r="X392" s="382" t="s">
        <v>1266</v>
      </c>
      <c r="Z392" s="382"/>
      <c r="AA392" s="382"/>
      <c r="AB392" s="382"/>
      <c r="AC392" s="382" t="s">
        <v>1673</v>
      </c>
      <c r="AD392" s="382"/>
      <c r="AE392" s="382"/>
      <c r="AF392" s="382"/>
      <c r="AG392" s="382"/>
      <c r="AH392" s="382"/>
      <c r="AI392" s="382"/>
      <c r="AJ392" s="382"/>
      <c r="AK392" s="382"/>
    </row>
    <row r="393" spans="1:44" ht="24.95" customHeight="1" x14ac:dyDescent="0.15">
      <c r="A393" s="202"/>
      <c r="B393" s="1160" t="s">
        <v>493</v>
      </c>
      <c r="C393" s="751" t="s">
        <v>496</v>
      </c>
      <c r="D393" s="1023"/>
      <c r="E393" s="1023"/>
      <c r="F393" s="750" t="s">
        <v>115</v>
      </c>
      <c r="G393" s="751"/>
      <c r="H393" s="750" t="s">
        <v>484</v>
      </c>
      <c r="I393" s="751"/>
      <c r="J393" s="1143" t="s">
        <v>485</v>
      </c>
      <c r="K393" s="751"/>
      <c r="L393" s="750" t="s">
        <v>486</v>
      </c>
      <c r="M393" s="751"/>
      <c r="N393" s="1143" t="s">
        <v>487</v>
      </c>
      <c r="O393" s="751"/>
      <c r="P393" s="1023" t="s">
        <v>234</v>
      </c>
      <c r="Q393" s="1023"/>
      <c r="R393" s="1023" t="s">
        <v>163</v>
      </c>
      <c r="S393" s="750"/>
      <c r="T393" s="784" t="s">
        <v>410</v>
      </c>
      <c r="U393" s="731"/>
      <c r="W393" s="391"/>
      <c r="X393" s="379"/>
      <c r="Y393" s="1495" t="s">
        <v>493</v>
      </c>
      <c r="Z393" s="1498" t="s">
        <v>496</v>
      </c>
      <c r="AA393" s="1499"/>
      <c r="AB393" s="1499"/>
      <c r="AC393" s="1454" t="s">
        <v>115</v>
      </c>
      <c r="AD393" s="1452"/>
      <c r="AE393" s="1454" t="s">
        <v>484</v>
      </c>
      <c r="AF393" s="1452"/>
      <c r="AG393" s="1455" t="s">
        <v>485</v>
      </c>
      <c r="AH393" s="1452"/>
      <c r="AI393" s="1454" t="s">
        <v>486</v>
      </c>
      <c r="AJ393" s="1452"/>
      <c r="AK393" s="1455" t="s">
        <v>487</v>
      </c>
      <c r="AL393" s="1452"/>
      <c r="AM393" s="1453" t="s">
        <v>234</v>
      </c>
      <c r="AN393" s="1453"/>
      <c r="AO393" s="1453" t="s">
        <v>163</v>
      </c>
      <c r="AP393" s="1454"/>
      <c r="AQ393" s="1485" t="s">
        <v>410</v>
      </c>
      <c r="AR393" s="1486"/>
    </row>
    <row r="394" spans="1:44" ht="24.95" customHeight="1" x14ac:dyDescent="0.15">
      <c r="A394" s="202"/>
      <c r="B394" s="1161"/>
      <c r="C394" s="782" t="s">
        <v>49</v>
      </c>
      <c r="D394" s="783"/>
      <c r="E394" s="783"/>
      <c r="F394" s="100"/>
      <c r="G394" s="101" t="s">
        <v>0</v>
      </c>
      <c r="H394" s="102"/>
      <c r="I394" s="101" t="s">
        <v>0</v>
      </c>
      <c r="J394" s="100"/>
      <c r="K394" s="101" t="s">
        <v>0</v>
      </c>
      <c r="L394" s="102"/>
      <c r="M394" s="101" t="s">
        <v>0</v>
      </c>
      <c r="N394" s="100"/>
      <c r="O394" s="101" t="s">
        <v>0</v>
      </c>
      <c r="P394" s="103"/>
      <c r="Q394" s="104" t="s">
        <v>0</v>
      </c>
      <c r="R394" s="103"/>
      <c r="S394" s="105" t="s">
        <v>0</v>
      </c>
      <c r="T394" s="106">
        <f>SUM(F394,H394,J394,L394,N394,P394,R394)</f>
        <v>0</v>
      </c>
      <c r="U394" s="118" t="s">
        <v>71</v>
      </c>
      <c r="W394" s="391"/>
      <c r="X394" s="390" t="s">
        <v>1739</v>
      </c>
      <c r="Y394" s="1496"/>
      <c r="Z394" s="1487" t="s">
        <v>49</v>
      </c>
      <c r="AA394" s="1488"/>
      <c r="AB394" s="1488"/>
      <c r="AC394" s="545">
        <f>COUNTIFS(集計アシストシート!$D$9:$D$208,"正規",集計アシストシート!$G$9:$G$208,"&lt;20",集計アシストシート!$J$9:$J$208,"&lt;12",集計アシストシート!$I$9:$I$208,"&gt;0")</f>
        <v>0</v>
      </c>
      <c r="AD394" s="546" t="s">
        <v>0</v>
      </c>
      <c r="AE394" s="545">
        <f>COUNTIFS(集計アシストシート!$D$9:$D$208,"正規",集計アシストシート!$G$9:$G$208,"&lt;20",集計アシストシート!$J$9:$J$208,"&gt;=12",集計アシストシート!$J$9:$J$208,"&lt;24",集計アシストシート!$I$9:$I$208,"&gt;0")</f>
        <v>0</v>
      </c>
      <c r="AF394" s="546" t="s">
        <v>0</v>
      </c>
      <c r="AG394" s="545">
        <f>COUNTIFS(集計アシストシート!$D$9:$D$208,"正規",集計アシストシート!$G$9:$G$208,"&lt;20",集計アシストシート!$J$9:$J$208,"&gt;=24",集計アシストシート!$J$9:$J$208,"&lt;36",集計アシストシート!$I$9:$I$208,"&gt;0")</f>
        <v>0</v>
      </c>
      <c r="AH394" s="546" t="s">
        <v>0</v>
      </c>
      <c r="AI394" s="545">
        <f>COUNTIFS(集計アシストシート!$D$9:$D$208,"正規",集計アシストシート!$G$9:$G$208,"&lt;20",集計アシストシート!$J$9:$J$208,"&gt;=36",集計アシストシート!$J$9:$J$208,"&lt;48",集計アシストシート!$I$9:$I$208,"&gt;0")</f>
        <v>0</v>
      </c>
      <c r="AJ394" s="546" t="s">
        <v>0</v>
      </c>
      <c r="AK394" s="545">
        <f>COUNTIFS(集計アシストシート!$D$9:$D$208,"正規",集計アシストシート!$G$9:$G$208,"&lt;20",集計アシストシート!$J$9:$J$208,"&gt;=48",集計アシストシート!$J$9:$J$208,"&lt;60",集計アシストシート!$I$9:$I$208,"&gt;0")</f>
        <v>0</v>
      </c>
      <c r="AL394" s="546" t="s">
        <v>0</v>
      </c>
      <c r="AM394" s="545">
        <f>COUNTIFS(集計アシストシート!$D$9:$D$208,"正規",集計アシストシート!$G$9:$G$208,"&lt;20",集計アシストシート!$J$9:$J$208,"&gt;=60",集計アシストシート!$J$9:$J$208,"&lt;120",集計アシストシート!$I$9:$I$208,"&gt;0")</f>
        <v>0</v>
      </c>
      <c r="AN394" s="547" t="s">
        <v>0</v>
      </c>
      <c r="AO394" s="545">
        <f>COUNTIFS(集計アシストシート!$D$9:$D$208,"正規",集計アシストシート!$G$9:$G$208,"&lt;20",集計アシストシート!$J$9:$J$208,"&gt;=120",集計アシストシート!$I$9:$I$208,"&gt;0")</f>
        <v>0</v>
      </c>
      <c r="AP394" s="548" t="s">
        <v>0</v>
      </c>
      <c r="AQ394" s="549">
        <f>SUM(AC394,AE394,AG394,AI394,AK394,AM394,AO394)</f>
        <v>0</v>
      </c>
      <c r="AR394" s="550" t="s">
        <v>71</v>
      </c>
    </row>
    <row r="395" spans="1:44" ht="24.95" customHeight="1" x14ac:dyDescent="0.15">
      <c r="A395" s="202"/>
      <c r="B395" s="1161"/>
      <c r="C395" s="712" t="s">
        <v>202</v>
      </c>
      <c r="D395" s="713"/>
      <c r="E395" s="713"/>
      <c r="F395" s="107"/>
      <c r="G395" s="108" t="s">
        <v>0</v>
      </c>
      <c r="H395" s="109"/>
      <c r="I395" s="108" t="s">
        <v>0</v>
      </c>
      <c r="J395" s="107"/>
      <c r="K395" s="108" t="s">
        <v>0</v>
      </c>
      <c r="L395" s="109"/>
      <c r="M395" s="108" t="s">
        <v>0</v>
      </c>
      <c r="N395" s="107"/>
      <c r="O395" s="108" t="s">
        <v>0</v>
      </c>
      <c r="P395" s="109"/>
      <c r="Q395" s="108" t="s">
        <v>1677</v>
      </c>
      <c r="R395" s="109"/>
      <c r="S395" s="110" t="s">
        <v>0</v>
      </c>
      <c r="T395" s="111">
        <f t="shared" ref="T395:T400" si="11">SUM(F395,H395,J395,L395,N395,P395,R395)</f>
        <v>0</v>
      </c>
      <c r="U395" s="119" t="s">
        <v>71</v>
      </c>
      <c r="W395" s="391"/>
      <c r="X395" s="390" t="s">
        <v>1739</v>
      </c>
      <c r="Y395" s="1496"/>
      <c r="Z395" s="1489" t="s">
        <v>202</v>
      </c>
      <c r="AA395" s="1490"/>
      <c r="AB395" s="1490"/>
      <c r="AC395" s="545">
        <f>COUNTIFS(集計アシストシート!$D$9:$D$208,"正規",集計アシストシート!$G$9:$G$208,"&gt;=20",集計アシストシート!$G$9:$G$208,"&lt;30",集計アシストシート!$J$9:$J$208,"&lt;12",集計アシストシート!$I$9:$I$208,"&gt;0")</f>
        <v>0</v>
      </c>
      <c r="AD395" s="551" t="s">
        <v>0</v>
      </c>
      <c r="AE395" s="545">
        <f>COUNTIFS(集計アシストシート!$D$9:$D$208,"正規",集計アシストシート!$G$9:$G$208,"&gt;=20",集計アシストシート!$G$9:$G$208,"&lt;30",集計アシストシート!$J$9:$J$208,"&gt;=12",集計アシストシート!$J$9:$J$208,"&lt;24",集計アシストシート!$I$9:$I$208,"&gt;0")</f>
        <v>0</v>
      </c>
      <c r="AF395" s="551" t="s">
        <v>0</v>
      </c>
      <c r="AG395" s="545">
        <f>COUNTIFS(集計アシストシート!$D$9:$D$208,"正規",集計アシストシート!$G$9:$G$208,"&gt;=20",集計アシストシート!$G$9:$G$208,"&lt;30",集計アシストシート!$J$9:$J$208,"&gt;=24",集計アシストシート!$J$9:$J$208,"&lt;36",集計アシストシート!$I$9:$I$208,"&gt;0")</f>
        <v>0</v>
      </c>
      <c r="AH395" s="551" t="s">
        <v>0</v>
      </c>
      <c r="AI395" s="545">
        <f>COUNTIFS(集計アシストシート!$D$9:$D$208,"正規",集計アシストシート!$G$9:$G$208,"&gt;=20",集計アシストシート!$G$9:$G$208,"&lt;30",集計アシストシート!$J$9:$J$208,"&gt;=36",集計アシストシート!$J$9:$J$208,"&lt;48",集計アシストシート!$I$9:$I$208,"&gt;0")</f>
        <v>0</v>
      </c>
      <c r="AJ395" s="551" t="s">
        <v>0</v>
      </c>
      <c r="AK395" s="545">
        <f>COUNTIFS(集計アシストシート!$D$9:$D$208,"正規",集計アシストシート!$G$9:$G$208,"&gt;=20",集計アシストシート!$G$9:$G$208,"&lt;30",集計アシストシート!$J$9:$J$208,"&gt;=48",集計アシストシート!$J$9:$J$208,"&lt;60",集計アシストシート!$I$9:$I$208,"&gt;0")</f>
        <v>0</v>
      </c>
      <c r="AL395" s="551" t="s">
        <v>0</v>
      </c>
      <c r="AM395" s="545">
        <f>COUNTIFS(集計アシストシート!$D$9:$D$208,"正規",集計アシストシート!$G$9:$G$208,"&gt;=20",集計アシストシート!$G$9:$G$208,"&lt;30",集計アシストシート!$J$9:$J$208,"&gt;=60",集計アシストシート!$J$9:$J$208,"&lt;120",集計アシストシート!$I$9:$I$208,"&gt;0")</f>
        <v>0</v>
      </c>
      <c r="AN395" s="551" t="s">
        <v>0</v>
      </c>
      <c r="AO395" s="545">
        <f>COUNTIFS(集計アシストシート!$D$9:$D$208,"正規",集計アシストシート!$G$9:$G$208,"&gt;=20",集計アシストシート!$G$9:$G$208,"&lt;30",集計アシストシート!$J$9:$J$208,"&gt;=120",集計アシストシート!$I$9:$I$208,"&gt;0")</f>
        <v>0</v>
      </c>
      <c r="AP395" s="552" t="s">
        <v>0</v>
      </c>
      <c r="AQ395" s="553">
        <f t="shared" ref="AQ395:AQ400" si="12">SUM(AC395,AE395,AG395,AI395,AK395,AM395,AO395)</f>
        <v>0</v>
      </c>
      <c r="AR395" s="554" t="s">
        <v>71</v>
      </c>
    </row>
    <row r="396" spans="1:44" ht="24.95" customHeight="1" x14ac:dyDescent="0.15">
      <c r="A396" s="202"/>
      <c r="B396" s="1161"/>
      <c r="C396" s="712" t="s">
        <v>203</v>
      </c>
      <c r="D396" s="713"/>
      <c r="E396" s="713"/>
      <c r="F396" s="107"/>
      <c r="G396" s="108" t="s">
        <v>0</v>
      </c>
      <c r="H396" s="109"/>
      <c r="I396" s="108" t="s">
        <v>0</v>
      </c>
      <c r="J396" s="107"/>
      <c r="K396" s="108" t="s">
        <v>0</v>
      </c>
      <c r="L396" s="109"/>
      <c r="M396" s="108" t="s">
        <v>0</v>
      </c>
      <c r="N396" s="107"/>
      <c r="O396" s="108" t="s">
        <v>0</v>
      </c>
      <c r="P396" s="109"/>
      <c r="Q396" s="108" t="s">
        <v>0</v>
      </c>
      <c r="R396" s="109"/>
      <c r="S396" s="110" t="s">
        <v>0</v>
      </c>
      <c r="T396" s="111">
        <f t="shared" si="11"/>
        <v>0</v>
      </c>
      <c r="U396" s="119" t="s">
        <v>71</v>
      </c>
      <c r="W396" s="391"/>
      <c r="X396" s="390" t="s">
        <v>1739</v>
      </c>
      <c r="Y396" s="1496"/>
      <c r="Z396" s="1489" t="s">
        <v>203</v>
      </c>
      <c r="AA396" s="1490"/>
      <c r="AB396" s="1490"/>
      <c r="AC396" s="545">
        <f>COUNTIFS(集計アシストシート!$D$9:$D$208,"正規",集計アシストシート!$G$9:$G$208,"&gt;=30",集計アシストシート!$G$9:$G$208,"&lt;40",集計アシストシート!$J$9:$J$208,"&lt;12",集計アシストシート!$I$9:$I$208,"&gt;0")</f>
        <v>0</v>
      </c>
      <c r="AD396" s="551" t="s">
        <v>0</v>
      </c>
      <c r="AE396" s="545">
        <f>COUNTIFS(集計アシストシート!$D$9:$D$208,"正規",集計アシストシート!$G$9:$G$208,"&gt;=30",集計アシストシート!$G$9:$G$208,"&lt;40",集計アシストシート!$J$9:$J$208,"&gt;=12",集計アシストシート!$J$9:$J$208,"&lt;24",集計アシストシート!$I$9:$I$208,"&gt;0")</f>
        <v>0</v>
      </c>
      <c r="AF396" s="551" t="s">
        <v>0</v>
      </c>
      <c r="AG396" s="545">
        <f>COUNTIFS(集計アシストシート!$D$9:$D$208,"正規",集計アシストシート!$G$9:$G$208,"&gt;=30",集計アシストシート!$G$9:$G$208,"&lt;40",集計アシストシート!$J$9:$J$208,"&gt;=24",集計アシストシート!$J$9:$J$208,"&lt;36",集計アシストシート!$I$9:$I$208,"&gt;0")</f>
        <v>0</v>
      </c>
      <c r="AH396" s="551" t="s">
        <v>0</v>
      </c>
      <c r="AI396" s="545">
        <f>COUNTIFS(集計アシストシート!$D$9:$D$208,"正規",集計アシストシート!$G$9:$G$208,"&gt;=30",集計アシストシート!$G$9:$G$208,"&lt;40",集計アシストシート!$J$9:$J$208,"&gt;=36",集計アシストシート!$J$9:$J$208,"&lt;48",集計アシストシート!$I$9:$I$208,"&gt;0")</f>
        <v>0</v>
      </c>
      <c r="AJ396" s="551" t="s">
        <v>0</v>
      </c>
      <c r="AK396" s="545">
        <f>COUNTIFS(集計アシストシート!$D$9:$D$208,"正規",集計アシストシート!$G$9:$G$208,"&gt;=30",集計アシストシート!$G$9:$G$208,"&lt;40",集計アシストシート!$J$9:$J$208,"&gt;=48",集計アシストシート!$J$9:$J$208,"&lt;60",集計アシストシート!$I$9:$I$208,"&gt;0")</f>
        <v>0</v>
      </c>
      <c r="AL396" s="551" t="s">
        <v>0</v>
      </c>
      <c r="AM396" s="545">
        <f>COUNTIFS(集計アシストシート!$D$9:$D$208,"正規",集計アシストシート!$G$9:$G$208,"&gt;=30",集計アシストシート!$G$9:$G$208,"&lt;40",集計アシストシート!$J$9:$J$208,"&gt;=60",集計アシストシート!$J$9:$J$208,"&lt;120",集計アシストシート!$I$9:$I$208,"&gt;0")</f>
        <v>0</v>
      </c>
      <c r="AN396" s="551" t="s">
        <v>0</v>
      </c>
      <c r="AO396" s="545">
        <f>COUNTIFS(集計アシストシート!$D$9:$D$208,"正規",集計アシストシート!$G$9:$G$208,"&gt;=30",集計アシストシート!$G$9:$G$208,"&lt;40",集計アシストシート!$J$9:$J$208,"&gt;=120",集計アシストシート!$I$9:$I$208,"&gt;0")</f>
        <v>0</v>
      </c>
      <c r="AP396" s="552" t="s">
        <v>0</v>
      </c>
      <c r="AQ396" s="553">
        <f t="shared" si="12"/>
        <v>0</v>
      </c>
      <c r="AR396" s="554" t="s">
        <v>71</v>
      </c>
    </row>
    <row r="397" spans="1:44" ht="24.95" customHeight="1" x14ac:dyDescent="0.15">
      <c r="A397" s="202"/>
      <c r="B397" s="1161"/>
      <c r="C397" s="712" t="s">
        <v>204</v>
      </c>
      <c r="D397" s="713"/>
      <c r="E397" s="713"/>
      <c r="F397" s="107"/>
      <c r="G397" s="108" t="s">
        <v>0</v>
      </c>
      <c r="H397" s="109"/>
      <c r="I397" s="108" t="s">
        <v>0</v>
      </c>
      <c r="J397" s="107"/>
      <c r="K397" s="108" t="s">
        <v>0</v>
      </c>
      <c r="L397" s="109"/>
      <c r="M397" s="108" t="s">
        <v>0</v>
      </c>
      <c r="N397" s="107"/>
      <c r="O397" s="108" t="s">
        <v>0</v>
      </c>
      <c r="P397" s="109"/>
      <c r="Q397" s="108" t="s">
        <v>0</v>
      </c>
      <c r="R397" s="109"/>
      <c r="S397" s="110" t="s">
        <v>0</v>
      </c>
      <c r="T397" s="111">
        <f t="shared" si="11"/>
        <v>0</v>
      </c>
      <c r="U397" s="119" t="s">
        <v>71</v>
      </c>
      <c r="W397" s="391"/>
      <c r="X397" s="390" t="s">
        <v>1739</v>
      </c>
      <c r="Y397" s="1496"/>
      <c r="Z397" s="1489" t="s">
        <v>204</v>
      </c>
      <c r="AA397" s="1490"/>
      <c r="AB397" s="1490"/>
      <c r="AC397" s="545">
        <f>COUNTIFS(集計アシストシート!$D$9:$D$208,"正規",集計アシストシート!$G$9:$G$208,"&gt;=40",集計アシストシート!$G$9:$G$208,"&lt;50",集計アシストシート!$J$9:$J$208,"&lt;12",集計アシストシート!$I$9:$I$208,"&gt;0")</f>
        <v>0</v>
      </c>
      <c r="AD397" s="551" t="s">
        <v>0</v>
      </c>
      <c r="AE397" s="545">
        <f>COUNTIFS(集計アシストシート!$D$9:$D$208,"正規",集計アシストシート!$G$9:$G$208,"&gt;=40",集計アシストシート!$G$9:$G$208,"&lt;50",集計アシストシート!$J$9:$J$208,"&gt;=12",集計アシストシート!$J$9:$J$208,"&lt;24",集計アシストシート!$I$9:$I$208,"&gt;0")</f>
        <v>0</v>
      </c>
      <c r="AF397" s="551" t="s">
        <v>0</v>
      </c>
      <c r="AG397" s="545">
        <f>COUNTIFS(集計アシストシート!$D$9:$D$208,"正規",集計アシストシート!$G$9:$G$208,"&gt;=40",集計アシストシート!$G$9:$G$208,"&lt;50",集計アシストシート!$J$9:$J$208,"&gt;=24",集計アシストシート!$J$9:$J$208,"&lt;36",集計アシストシート!$I$9:$I$208,"&gt;0")</f>
        <v>0</v>
      </c>
      <c r="AH397" s="551" t="s">
        <v>0</v>
      </c>
      <c r="AI397" s="545">
        <f>COUNTIFS(集計アシストシート!$D$9:$D$208,"正規",集計アシストシート!$G$9:$G$208,"&gt;=40",集計アシストシート!$G$9:$G$208,"&lt;50",集計アシストシート!$J$9:$J$208,"&gt;=36",集計アシストシート!$J$9:$J$208,"&lt;48",集計アシストシート!$I$9:$I$208,"&gt;0")</f>
        <v>0</v>
      </c>
      <c r="AJ397" s="551" t="s">
        <v>0</v>
      </c>
      <c r="AK397" s="545">
        <f>COUNTIFS(集計アシストシート!$D$9:$D$208,"正規",集計アシストシート!$G$9:$G$208,"&gt;=40",集計アシストシート!$G$9:$G$208,"&lt;50",集計アシストシート!$J$9:$J$208,"&gt;=48",集計アシストシート!$J$9:$J$208,"&lt;60",集計アシストシート!$I$9:$I$208,"&gt;0")</f>
        <v>0</v>
      </c>
      <c r="AL397" s="551" t="s">
        <v>0</v>
      </c>
      <c r="AM397" s="545">
        <f>COUNTIFS(集計アシストシート!$D$9:$D$208,"正規",集計アシストシート!$G$9:$G$208,"&gt;=40",集計アシストシート!$G$9:$G$208,"&lt;50",集計アシストシート!$J$9:$J$208,"&gt;=60",集計アシストシート!$J$9:$J$208,"&lt;120",集計アシストシート!$I$9:$I$208,"&gt;0")</f>
        <v>0</v>
      </c>
      <c r="AN397" s="551" t="s">
        <v>0</v>
      </c>
      <c r="AO397" s="545">
        <f>COUNTIFS(集計アシストシート!$D$9:$D$208,"正規",集計アシストシート!$G$9:$G$208,"&gt;=40",集計アシストシート!$G$9:$G$208,"&lt;50",集計アシストシート!$J$9:$J$208,"&gt;=120",集計アシストシート!$I$9:$I$208,"&gt;0")</f>
        <v>0</v>
      </c>
      <c r="AP397" s="552" t="s">
        <v>0</v>
      </c>
      <c r="AQ397" s="553">
        <f t="shared" si="12"/>
        <v>0</v>
      </c>
      <c r="AR397" s="554" t="s">
        <v>71</v>
      </c>
    </row>
    <row r="398" spans="1:44" ht="24.95" customHeight="1" x14ac:dyDescent="0.15">
      <c r="A398" s="202"/>
      <c r="B398" s="1161"/>
      <c r="C398" s="712" t="s">
        <v>205</v>
      </c>
      <c r="D398" s="713"/>
      <c r="E398" s="713"/>
      <c r="F398" s="107"/>
      <c r="G398" s="108" t="s">
        <v>0</v>
      </c>
      <c r="H398" s="109"/>
      <c r="I398" s="108" t="s">
        <v>0</v>
      </c>
      <c r="J398" s="107"/>
      <c r="K398" s="108" t="s">
        <v>0</v>
      </c>
      <c r="L398" s="109"/>
      <c r="M398" s="108" t="s">
        <v>0</v>
      </c>
      <c r="N398" s="107"/>
      <c r="O398" s="108" t="s">
        <v>0</v>
      </c>
      <c r="P398" s="109"/>
      <c r="Q398" s="108" t="s">
        <v>0</v>
      </c>
      <c r="R398" s="109"/>
      <c r="S398" s="110" t="s">
        <v>0</v>
      </c>
      <c r="T398" s="111">
        <f t="shared" si="11"/>
        <v>0</v>
      </c>
      <c r="U398" s="119" t="s">
        <v>71</v>
      </c>
      <c r="W398" s="391"/>
      <c r="X398" s="390" t="s">
        <v>1739</v>
      </c>
      <c r="Y398" s="1496"/>
      <c r="Z398" s="1489" t="s">
        <v>205</v>
      </c>
      <c r="AA398" s="1490"/>
      <c r="AB398" s="1490"/>
      <c r="AC398" s="545">
        <f>COUNTIFS(集計アシストシート!$D$9:$D$208,"正規",集計アシストシート!$G$9:$G$208,"&gt;=50",集計アシストシート!$G$9:$G$208,"&lt;60",集計アシストシート!$J$9:$J$208,"&lt;12",集計アシストシート!$I$9:$I$208,"&gt;0")</f>
        <v>0</v>
      </c>
      <c r="AD398" s="551" t="s">
        <v>0</v>
      </c>
      <c r="AE398" s="545">
        <f>COUNTIFS(集計アシストシート!$D$9:$D$208,"正規",集計アシストシート!$G$9:$G$208,"&gt;=50",集計アシストシート!$G$9:$G$208,"&lt;60",集計アシストシート!$J$9:$J$208,"&gt;=12",集計アシストシート!$J$9:$J$208,"&lt;24",集計アシストシート!$I$9:$I$208,"&gt;0")</f>
        <v>0</v>
      </c>
      <c r="AF398" s="551" t="s">
        <v>0</v>
      </c>
      <c r="AG398" s="545">
        <f>COUNTIFS(集計アシストシート!$D$9:$D$208,"正規",集計アシストシート!$G$9:$G$208,"&gt;=50",集計アシストシート!$G$9:$G$208,"&lt;60",集計アシストシート!$J$9:$J$208,"&gt;=24",集計アシストシート!$J$9:$J$208,"&lt;36",集計アシストシート!$I$9:$I$208,"&gt;0")</f>
        <v>0</v>
      </c>
      <c r="AH398" s="551" t="s">
        <v>0</v>
      </c>
      <c r="AI398" s="545">
        <f>COUNTIFS(集計アシストシート!$D$9:$D$208,"正規",集計アシストシート!$G$9:$G$208,"&gt;=50",集計アシストシート!$G$9:$G$208,"&lt;60",集計アシストシート!$J$9:$J$208,"&gt;=36",集計アシストシート!$J$9:$J$208,"&lt;48",集計アシストシート!$I$9:$I$208,"&gt;0")</f>
        <v>0</v>
      </c>
      <c r="AJ398" s="551" t="s">
        <v>0</v>
      </c>
      <c r="AK398" s="545">
        <f>COUNTIFS(集計アシストシート!$D$9:$D$208,"正規",集計アシストシート!$G$9:$G$208,"&gt;=50",集計アシストシート!$G$9:$G$208,"&lt;60",集計アシストシート!$J$9:$J$208,"&gt;=48",集計アシストシート!$J$9:$J$208,"&lt;60",集計アシストシート!$I$9:$I$208,"&gt;0")</f>
        <v>0</v>
      </c>
      <c r="AL398" s="551" t="s">
        <v>0</v>
      </c>
      <c r="AM398" s="545">
        <f>COUNTIFS(集計アシストシート!$D$9:$D$208,"正規",集計アシストシート!$G$9:$G$208,"&gt;=50",集計アシストシート!$G$9:$G$208,"&lt;60",集計アシストシート!$J$9:$J$208,"&gt;=60",集計アシストシート!$J$9:$J$208,"&lt;120",集計アシストシート!$I$9:$I$208,"&gt;0")</f>
        <v>0</v>
      </c>
      <c r="AN398" s="551" t="s">
        <v>0</v>
      </c>
      <c r="AO398" s="545">
        <f>COUNTIFS(集計アシストシート!$D$9:$D$208,"正規",集計アシストシート!$G$9:$G$208,"&gt;=50",集計アシストシート!$G$9:$G$208,"&lt;60",集計アシストシート!$J$9:$J$208,"&gt;=120",集計アシストシート!$I$9:$I$208,"&gt;0")</f>
        <v>0</v>
      </c>
      <c r="AP398" s="552" t="s">
        <v>0</v>
      </c>
      <c r="AQ398" s="553">
        <f t="shared" si="12"/>
        <v>0</v>
      </c>
      <c r="AR398" s="554" t="s">
        <v>71</v>
      </c>
    </row>
    <row r="399" spans="1:44" ht="24.95" customHeight="1" thickBot="1" x14ac:dyDescent="0.2">
      <c r="A399" s="202"/>
      <c r="B399" s="1161"/>
      <c r="C399" s="836" t="s">
        <v>206</v>
      </c>
      <c r="D399" s="837"/>
      <c r="E399" s="837"/>
      <c r="F399" s="112"/>
      <c r="G399" s="113" t="s">
        <v>0</v>
      </c>
      <c r="H399" s="114"/>
      <c r="I399" s="113" t="s">
        <v>0</v>
      </c>
      <c r="J399" s="112"/>
      <c r="K399" s="113" t="s">
        <v>0</v>
      </c>
      <c r="L399" s="114"/>
      <c r="M399" s="113" t="s">
        <v>0</v>
      </c>
      <c r="N399" s="112"/>
      <c r="O399" s="113" t="s">
        <v>0</v>
      </c>
      <c r="P399" s="114"/>
      <c r="Q399" s="113" t="s">
        <v>0</v>
      </c>
      <c r="R399" s="114"/>
      <c r="S399" s="115" t="s">
        <v>0</v>
      </c>
      <c r="T399" s="116">
        <f t="shared" si="11"/>
        <v>0</v>
      </c>
      <c r="U399" s="120" t="s">
        <v>71</v>
      </c>
      <c r="W399" s="391"/>
      <c r="X399" s="390" t="s">
        <v>1739</v>
      </c>
      <c r="Y399" s="1496"/>
      <c r="Z399" s="1491" t="s">
        <v>206</v>
      </c>
      <c r="AA399" s="1492"/>
      <c r="AB399" s="1492"/>
      <c r="AC399" s="545">
        <f>COUNTIFS(集計アシストシート!$D$9:$D$208,"正規",集計アシストシート!$G$9:$G$208,"&gt;=60",集計アシストシート!$J$9:$J$208,"&lt;12",集計アシストシート!$I$9:$I$208,"&gt;0")</f>
        <v>0</v>
      </c>
      <c r="AD399" s="555" t="s">
        <v>0</v>
      </c>
      <c r="AE399" s="545">
        <f>COUNTIFS(集計アシストシート!$D$9:$D$208,"正規",集計アシストシート!$G$9:$G$208,"&gt;=60",集計アシストシート!$J$9:$J$208,"&gt;=12",集計アシストシート!$J$9:$J$208,"&lt;24",集計アシストシート!$I$9:$I$208,"&gt;0")</f>
        <v>0</v>
      </c>
      <c r="AF399" s="555" t="s">
        <v>0</v>
      </c>
      <c r="AG399" s="545">
        <f>COUNTIFS(集計アシストシート!$D$9:$D$208,"正規",集計アシストシート!$G$9:$G$208,"&gt;=60",集計アシストシート!$J$9:$J$208,"&gt;=24",集計アシストシート!$J$9:$J$208,"&lt;36",集計アシストシート!$I$9:$I$208,"&gt;0")</f>
        <v>0</v>
      </c>
      <c r="AH399" s="555" t="s">
        <v>0</v>
      </c>
      <c r="AI399" s="545">
        <f>COUNTIFS(集計アシストシート!$D$9:$D$208,"正規",集計アシストシート!$G$9:$G$208,"&gt;=60",集計アシストシート!$J$9:$J$208,"&gt;=36",集計アシストシート!$J$9:$J$208,"&lt;48",集計アシストシート!$I$9:$I$208,"&gt;0")</f>
        <v>0</v>
      </c>
      <c r="AJ399" s="555" t="s">
        <v>0</v>
      </c>
      <c r="AK399" s="545">
        <f>COUNTIFS(集計アシストシート!$D$9:$D$208,"正規",集計アシストシート!$G$9:$G$208,"&gt;=60",集計アシストシート!$J$9:$J$208,"&gt;=48",集計アシストシート!$J$9:$J$208,"&lt;60",集計アシストシート!$I$9:$I$208,"&gt;0")</f>
        <v>0</v>
      </c>
      <c r="AL399" s="555" t="s">
        <v>0</v>
      </c>
      <c r="AM399" s="545">
        <f>COUNTIFS(集計アシストシート!$D$9:$D$208,"正規",集計アシストシート!$G$9:$G$208,"&gt;=60",集計アシストシート!$J$9:$J$208,"&gt;=60",集計アシストシート!$J$9:$J$208,"&lt;120",集計アシストシート!$I$9:$I$208,"&gt;0")</f>
        <v>0</v>
      </c>
      <c r="AN399" s="555" t="s">
        <v>0</v>
      </c>
      <c r="AO399" s="545">
        <f>COUNTIFS(集計アシストシート!$D$9:$D$208,"正規",集計アシストシート!$G$9:$G$208,"&gt;=60",集計アシストシート!$J$9:$J$208,"&gt;=120",集計アシストシート!$I$9:$I$208,"&gt;0")</f>
        <v>0</v>
      </c>
      <c r="AP399" s="556" t="s">
        <v>0</v>
      </c>
      <c r="AQ399" s="557">
        <f t="shared" si="12"/>
        <v>0</v>
      </c>
      <c r="AR399" s="558" t="s">
        <v>71</v>
      </c>
    </row>
    <row r="400" spans="1:44" ht="24.95" customHeight="1" thickTop="1" x14ac:dyDescent="0.15">
      <c r="A400" s="202"/>
      <c r="B400" s="1162"/>
      <c r="C400" s="838" t="s">
        <v>410</v>
      </c>
      <c r="D400" s="839"/>
      <c r="E400" s="839"/>
      <c r="F400" s="121" t="str">
        <f>IF(F394+F395+F396+F397+F398+F399=0,"",F394+F395+F396+F397+F398+F399)</f>
        <v/>
      </c>
      <c r="G400" s="121" t="s">
        <v>0</v>
      </c>
      <c r="H400" s="501" t="str">
        <f>IF(H394+H395+H396+H397+H398+H399=0,"",H394+H395+H396+H397+H398+H399)</f>
        <v/>
      </c>
      <c r="I400" s="122" t="s">
        <v>0</v>
      </c>
      <c r="J400" s="121" t="str">
        <f>IF(J394+J395+J396+J397+J398+J399=0,"",J394+J395+J396+J397+J398+J399)</f>
        <v/>
      </c>
      <c r="K400" s="121" t="s">
        <v>0</v>
      </c>
      <c r="L400" s="501" t="str">
        <f>IF(L394+L395+L396+L397+L398+L399=0,"",L394+L395+L396+L397+L398+L399)</f>
        <v/>
      </c>
      <c r="M400" s="122" t="s">
        <v>0</v>
      </c>
      <c r="N400" s="121" t="str">
        <f>IF(N394+N395+N396+N397+N398+N399=0,"",N394+N395+N396+N397+N398+N399)</f>
        <v/>
      </c>
      <c r="O400" s="121" t="s">
        <v>0</v>
      </c>
      <c r="P400" s="501" t="str">
        <f>IF(P394+P395+P396+P397+P398+P399=0,"",P394+P395+P396+P397+P398+P399)</f>
        <v/>
      </c>
      <c r="Q400" s="122" t="s">
        <v>0</v>
      </c>
      <c r="R400" s="501" t="str">
        <f>IF(R394+R395+R396+R397+R398+R399=0,"",R394+R395+R396+R397+R398+R399)</f>
        <v/>
      </c>
      <c r="S400" s="121" t="s">
        <v>0</v>
      </c>
      <c r="T400" s="123">
        <f t="shared" si="11"/>
        <v>0</v>
      </c>
      <c r="U400" s="124" t="s">
        <v>71</v>
      </c>
      <c r="W400" s="391"/>
      <c r="X400" s="390" t="s">
        <v>1739</v>
      </c>
      <c r="Y400" s="1497"/>
      <c r="Z400" s="1493" t="s">
        <v>410</v>
      </c>
      <c r="AA400" s="1494"/>
      <c r="AB400" s="1494"/>
      <c r="AC400" s="559" t="str">
        <f>IF(AC394+AC395+AC396+AC397+AC398+AC399=0,"",AC394+AC395+AC396+AC397+AC398+AC399)</f>
        <v/>
      </c>
      <c r="AD400" s="559" t="s">
        <v>0</v>
      </c>
      <c r="AE400" s="560" t="str">
        <f>IF(AE394+AE395+AE396+AE397+AE398+AE399=0,"",AE394+AE395+AE396+AE397+AE398+AE399)</f>
        <v/>
      </c>
      <c r="AF400" s="561" t="s">
        <v>0</v>
      </c>
      <c r="AG400" s="559" t="str">
        <f>IF(AG394+AG395+AG396+AG397+AG398+AG399=0,"",AG394+AG395+AG396+AG397+AG398+AG399)</f>
        <v/>
      </c>
      <c r="AH400" s="559" t="s">
        <v>0</v>
      </c>
      <c r="AI400" s="560" t="str">
        <f>IF(AI394+AI395+AI396+AI397+AI398+AI399=0,"",AI394+AI395+AI396+AI397+AI398+AI399)</f>
        <v/>
      </c>
      <c r="AJ400" s="561" t="s">
        <v>0</v>
      </c>
      <c r="AK400" s="559" t="str">
        <f>IF(AK394+AK395+AK396+AK397+AK398+AK399=0,"",AK394+AK395+AK396+AK397+AK398+AK399)</f>
        <v/>
      </c>
      <c r="AL400" s="559" t="s">
        <v>0</v>
      </c>
      <c r="AM400" s="560" t="str">
        <f>IF(AM394+AM395+AM396+AM397+AM398+AM399=0,"",AM394+AM395+AM396+AM397+AM398+AM399)</f>
        <v/>
      </c>
      <c r="AN400" s="561" t="s">
        <v>0</v>
      </c>
      <c r="AO400" s="560" t="str">
        <f>IF(AO394+AO395+AO396+AO397+AO398+AO399=0,"",AO394+AO395+AO396+AO397+AO398+AO399)</f>
        <v/>
      </c>
      <c r="AP400" s="559" t="s">
        <v>0</v>
      </c>
      <c r="AQ400" s="562">
        <f t="shared" si="12"/>
        <v>0</v>
      </c>
      <c r="AR400" s="563" t="s">
        <v>71</v>
      </c>
    </row>
    <row r="401" spans="1:44" ht="24.95" customHeight="1" x14ac:dyDescent="0.15">
      <c r="A401" s="202"/>
      <c r="B401" s="1160" t="s">
        <v>494</v>
      </c>
      <c r="C401" s="751" t="s">
        <v>496</v>
      </c>
      <c r="D401" s="1023"/>
      <c r="E401" s="1023"/>
      <c r="F401" s="750" t="s">
        <v>115</v>
      </c>
      <c r="G401" s="751"/>
      <c r="H401" s="750" t="s">
        <v>484</v>
      </c>
      <c r="I401" s="751"/>
      <c r="J401" s="1143" t="s">
        <v>485</v>
      </c>
      <c r="K401" s="751"/>
      <c r="L401" s="750" t="s">
        <v>486</v>
      </c>
      <c r="M401" s="751"/>
      <c r="N401" s="1143" t="s">
        <v>487</v>
      </c>
      <c r="O401" s="751"/>
      <c r="P401" s="1023" t="s">
        <v>234</v>
      </c>
      <c r="Q401" s="1023"/>
      <c r="R401" s="1023" t="s">
        <v>163</v>
      </c>
      <c r="S401" s="750"/>
      <c r="T401" s="784" t="s">
        <v>410</v>
      </c>
      <c r="U401" s="731"/>
      <c r="W401" s="391"/>
      <c r="X401" s="390" t="s">
        <v>1739</v>
      </c>
      <c r="Y401" s="1495" t="s">
        <v>494</v>
      </c>
      <c r="Z401" s="1498" t="s">
        <v>496</v>
      </c>
      <c r="AA401" s="1499"/>
      <c r="AB401" s="1499"/>
      <c r="AC401" s="1454" t="s">
        <v>115</v>
      </c>
      <c r="AD401" s="1452"/>
      <c r="AE401" s="1454" t="s">
        <v>484</v>
      </c>
      <c r="AF401" s="1452"/>
      <c r="AG401" s="1455" t="s">
        <v>485</v>
      </c>
      <c r="AH401" s="1452"/>
      <c r="AI401" s="1454" t="s">
        <v>486</v>
      </c>
      <c r="AJ401" s="1452"/>
      <c r="AK401" s="1455" t="s">
        <v>487</v>
      </c>
      <c r="AL401" s="1452"/>
      <c r="AM401" s="1453" t="s">
        <v>234</v>
      </c>
      <c r="AN401" s="1453"/>
      <c r="AO401" s="1453" t="s">
        <v>163</v>
      </c>
      <c r="AP401" s="1454"/>
      <c r="AQ401" s="1485" t="s">
        <v>410</v>
      </c>
      <c r="AR401" s="1486"/>
    </row>
    <row r="402" spans="1:44" ht="24.95" customHeight="1" x14ac:dyDescent="0.15">
      <c r="A402" s="202"/>
      <c r="B402" s="1161"/>
      <c r="C402" s="782" t="s">
        <v>49</v>
      </c>
      <c r="D402" s="783"/>
      <c r="E402" s="783"/>
      <c r="F402" s="100"/>
      <c r="G402" s="101" t="s">
        <v>0</v>
      </c>
      <c r="H402" s="102"/>
      <c r="I402" s="101" t="s">
        <v>0</v>
      </c>
      <c r="J402" s="100"/>
      <c r="K402" s="101" t="s">
        <v>0</v>
      </c>
      <c r="L402" s="102"/>
      <c r="M402" s="101" t="s">
        <v>0</v>
      </c>
      <c r="N402" s="100"/>
      <c r="O402" s="101" t="s">
        <v>0</v>
      </c>
      <c r="P402" s="103"/>
      <c r="Q402" s="104" t="s">
        <v>0</v>
      </c>
      <c r="R402" s="103"/>
      <c r="S402" s="105" t="s">
        <v>0</v>
      </c>
      <c r="T402" s="106">
        <f>SUM(F402,H402,J402,L402,N402,P402,R402)</f>
        <v>0</v>
      </c>
      <c r="U402" s="118" t="s">
        <v>71</v>
      </c>
      <c r="W402" s="391"/>
      <c r="X402" s="390" t="s">
        <v>1739</v>
      </c>
      <c r="Y402" s="1496"/>
      <c r="Z402" s="1487" t="s">
        <v>49</v>
      </c>
      <c r="AA402" s="1488"/>
      <c r="AB402" s="1488"/>
      <c r="AC402" s="545">
        <f>COUNTIFS(集計アシストシート!$D$9:$D$208,"非正規",集計アシストシート!$G$9:$G$208,"&lt;20",集計アシストシート!$J$9:$J$208,"&lt;12",集計アシストシート!$I$9:$I$208,"&gt;0")</f>
        <v>0</v>
      </c>
      <c r="AD402" s="546" t="s">
        <v>0</v>
      </c>
      <c r="AE402" s="545">
        <f>COUNTIFS(集計アシストシート!$D$9:$D$208,"非正規",集計アシストシート!$G$9:$G$208,"&lt;20",集計アシストシート!$J$9:$J$208,"&gt;=12",集計アシストシート!$J$9:$J$208,"&lt;24",集計アシストシート!$I$9:$I$208,"&gt;0")</f>
        <v>0</v>
      </c>
      <c r="AF402" s="546" t="s">
        <v>0</v>
      </c>
      <c r="AG402" s="545">
        <f>COUNTIFS(集計アシストシート!$D$9:$D$208,"非正規",集計アシストシート!$G$9:$G$208,"&lt;20",集計アシストシート!$J$9:$J$208,"&gt;=24",集計アシストシート!$J$9:$J$208,"&lt;36",集計アシストシート!$I$9:$I$208,"&gt;0")</f>
        <v>0</v>
      </c>
      <c r="AH402" s="546" t="s">
        <v>0</v>
      </c>
      <c r="AI402" s="545">
        <f>COUNTIFS(集計アシストシート!$D$9:$D$208,"非正規",集計アシストシート!$G$9:$G$208,"&lt;20",集計アシストシート!$J$9:$J$208,"&gt;=36",集計アシストシート!$J$9:$J$208,"&lt;48",集計アシストシート!$I$9:$I$208,"&gt;0")</f>
        <v>0</v>
      </c>
      <c r="AJ402" s="546" t="s">
        <v>0</v>
      </c>
      <c r="AK402" s="545">
        <f>COUNTIFS(集計アシストシート!$D$9:$D$208,"非正規",集計アシストシート!$G$9:$G$208,"&lt;20",集計アシストシート!$J$9:$J$208,"&gt;=48",集計アシストシート!$J$9:$J$208,"&lt;60",集計アシストシート!$I$9:$I$208,"&gt;0")</f>
        <v>0</v>
      </c>
      <c r="AL402" s="546" t="s">
        <v>0</v>
      </c>
      <c r="AM402" s="545">
        <f>COUNTIFS(集計アシストシート!$D$9:$D$208,"非正規",集計アシストシート!$G$9:$G$208,"&lt;20",集計アシストシート!$J$9:$J$208,"&gt;=60",集計アシストシート!$J$9:$J$208,"&lt;120",集計アシストシート!$I$9:$I$208,"&gt;0")</f>
        <v>0</v>
      </c>
      <c r="AN402" s="547" t="s">
        <v>0</v>
      </c>
      <c r="AO402" s="545">
        <f>COUNTIFS(集計アシストシート!$D$9:$D$208,"非正規",集計アシストシート!$G$9:$G$208,"&lt;20",集計アシストシート!$J$9:$J$208,"&gt;=120",集計アシストシート!$I$9:$I$208,"&gt;0")</f>
        <v>0</v>
      </c>
      <c r="AP402" s="548" t="s">
        <v>0</v>
      </c>
      <c r="AQ402" s="549">
        <f>SUM(AC402,AE402,AG402,AI402,AK402,AM402,AO402)</f>
        <v>0</v>
      </c>
      <c r="AR402" s="550" t="s">
        <v>71</v>
      </c>
    </row>
    <row r="403" spans="1:44" ht="24.95" customHeight="1" x14ac:dyDescent="0.15">
      <c r="A403" s="202"/>
      <c r="B403" s="1161"/>
      <c r="C403" s="712" t="s">
        <v>202</v>
      </c>
      <c r="D403" s="713"/>
      <c r="E403" s="713"/>
      <c r="F403" s="107"/>
      <c r="G403" s="108" t="s">
        <v>0</v>
      </c>
      <c r="H403" s="109"/>
      <c r="I403" s="108" t="s">
        <v>0</v>
      </c>
      <c r="J403" s="107"/>
      <c r="K403" s="108" t="s">
        <v>0</v>
      </c>
      <c r="L403" s="109"/>
      <c r="M403" s="108" t="s">
        <v>0</v>
      </c>
      <c r="N403" s="107"/>
      <c r="O403" s="108" t="s">
        <v>0</v>
      </c>
      <c r="P403" s="109"/>
      <c r="Q403" s="108" t="s">
        <v>0</v>
      </c>
      <c r="R403" s="109"/>
      <c r="S403" s="110" t="s">
        <v>0</v>
      </c>
      <c r="T403" s="111">
        <f t="shared" ref="T403:T408" si="13">SUM(F403,H403,J403,L403,N403,P403,R403)</f>
        <v>0</v>
      </c>
      <c r="U403" s="119" t="s">
        <v>71</v>
      </c>
      <c r="W403" s="391"/>
      <c r="X403" s="390" t="s">
        <v>1739</v>
      </c>
      <c r="Y403" s="1496"/>
      <c r="Z403" s="1489" t="s">
        <v>202</v>
      </c>
      <c r="AA403" s="1490"/>
      <c r="AB403" s="1490"/>
      <c r="AC403" s="545">
        <f>COUNTIFS(集計アシストシート!$D$9:$D$208,"非正規",集計アシストシート!$G$9:$G$208,"&gt;=20",集計アシストシート!$G$9:$G$208,"&lt;30",集計アシストシート!$J$9:$J$208,"&lt;12",集計アシストシート!$I$9:$I$208,"&gt;0")</f>
        <v>0</v>
      </c>
      <c r="AD403" s="551" t="s">
        <v>0</v>
      </c>
      <c r="AE403" s="545">
        <f>COUNTIFS(集計アシストシート!$D$9:$D$208,"非正規",集計アシストシート!$G$9:$G$208,"&gt;=20",集計アシストシート!$G$9:$G$208,"&lt;30",集計アシストシート!$J$9:$J$208,"&gt;=12",集計アシストシート!$J$9:$J$208,"&lt;24",集計アシストシート!$I$9:$I$208,"&gt;0")</f>
        <v>0</v>
      </c>
      <c r="AF403" s="551" t="s">
        <v>0</v>
      </c>
      <c r="AG403" s="545">
        <f>COUNTIFS(集計アシストシート!$D$9:$D$208,"非正規",集計アシストシート!$G$9:$G$208,"&gt;=20",集計アシストシート!$G$9:$G$208,"&lt;30",集計アシストシート!$J$9:$J$208,"&gt;=24",集計アシストシート!$J$9:$J$208,"&lt;36",集計アシストシート!$I$9:$I$208,"&gt;0")</f>
        <v>0</v>
      </c>
      <c r="AH403" s="551" t="s">
        <v>0</v>
      </c>
      <c r="AI403" s="545">
        <f>COUNTIFS(集計アシストシート!$D$9:$D$208,"非正規",集計アシストシート!$G$9:$G$208,"&gt;=20",集計アシストシート!$G$9:$G$208,"&lt;30",集計アシストシート!$J$9:$J$208,"&gt;=36",集計アシストシート!$J$9:$J$208,"&lt;48",集計アシストシート!$I$9:$I$208,"&gt;0")</f>
        <v>0</v>
      </c>
      <c r="AJ403" s="551" t="s">
        <v>0</v>
      </c>
      <c r="AK403" s="545">
        <f>COUNTIFS(集計アシストシート!$D$9:$D$208,"非正規",集計アシストシート!$G$9:$G$208,"&gt;=20",集計アシストシート!$G$9:$G$208,"&lt;30",集計アシストシート!$J$9:$J$208,"&gt;=48",集計アシストシート!$J$9:$J$208,"&lt;60",集計アシストシート!$I$9:$I$208,"&gt;0")</f>
        <v>0</v>
      </c>
      <c r="AL403" s="551" t="s">
        <v>0</v>
      </c>
      <c r="AM403" s="545">
        <f>COUNTIFS(集計アシストシート!$D$9:$D$208,"非正規",集計アシストシート!$G$9:$G$208,"&gt;=20",集計アシストシート!$G$9:$G$208,"&lt;30",集計アシストシート!$J$9:$J$208,"&gt;=60",集計アシストシート!$J$9:$J$208,"&lt;120",集計アシストシート!$I$9:$I$208,"&gt;0")</f>
        <v>0</v>
      </c>
      <c r="AN403" s="551" t="s">
        <v>0</v>
      </c>
      <c r="AO403" s="545">
        <f>COUNTIFS(集計アシストシート!$D$9:$D$208,"非正規",集計アシストシート!$G$9:$G$208,"&gt;=20",集計アシストシート!$G$9:$G$208,"&lt;30",集計アシストシート!$J$9:$J$208,"&gt;=120",集計アシストシート!$I$9:$I$208,"&gt;0")</f>
        <v>0</v>
      </c>
      <c r="AP403" s="552" t="s">
        <v>0</v>
      </c>
      <c r="AQ403" s="553">
        <f t="shared" ref="AQ403:AQ408" si="14">SUM(AC403,AE403,AG403,AI403,AK403,AM403,AO403)</f>
        <v>0</v>
      </c>
      <c r="AR403" s="554" t="s">
        <v>71</v>
      </c>
    </row>
    <row r="404" spans="1:44" ht="24.95" customHeight="1" x14ac:dyDescent="0.15">
      <c r="A404" s="202"/>
      <c r="B404" s="1161"/>
      <c r="C404" s="712" t="s">
        <v>203</v>
      </c>
      <c r="D404" s="713"/>
      <c r="E404" s="713"/>
      <c r="F404" s="107"/>
      <c r="G404" s="108" t="s">
        <v>0</v>
      </c>
      <c r="H404" s="109"/>
      <c r="I404" s="108" t="s">
        <v>0</v>
      </c>
      <c r="J404" s="107"/>
      <c r="K404" s="108" t="s">
        <v>0</v>
      </c>
      <c r="L404" s="109"/>
      <c r="M404" s="108" t="s">
        <v>0</v>
      </c>
      <c r="N404" s="107"/>
      <c r="O404" s="108" t="s">
        <v>0</v>
      </c>
      <c r="P404" s="109"/>
      <c r="Q404" s="108" t="s">
        <v>0</v>
      </c>
      <c r="R404" s="109"/>
      <c r="S404" s="110" t="s">
        <v>0</v>
      </c>
      <c r="T404" s="111">
        <f t="shared" si="13"/>
        <v>0</v>
      </c>
      <c r="U404" s="119" t="s">
        <v>71</v>
      </c>
      <c r="W404" s="391"/>
      <c r="X404" s="390" t="s">
        <v>1739</v>
      </c>
      <c r="Y404" s="1496"/>
      <c r="Z404" s="1489" t="s">
        <v>203</v>
      </c>
      <c r="AA404" s="1490"/>
      <c r="AB404" s="1490"/>
      <c r="AC404" s="545">
        <f>COUNTIFS(集計アシストシート!$D$9:$D$208,"非正規",集計アシストシート!$G$9:$G$208,"&gt;=30",集計アシストシート!$G$9:$G$208,"&lt;40",集計アシストシート!$J$9:$J$208,"&lt;12",集計アシストシート!$I$9:$I$208,"&gt;0")</f>
        <v>0</v>
      </c>
      <c r="AD404" s="551" t="s">
        <v>0</v>
      </c>
      <c r="AE404" s="545">
        <f>COUNTIFS(集計アシストシート!$D$9:$D$208,"非正規",集計アシストシート!$G$9:$G$208,"&gt;=30",集計アシストシート!$G$9:$G$208,"&lt;40",集計アシストシート!$J$9:$J$208,"&gt;=12",集計アシストシート!$J$9:$J$208,"&lt;24",集計アシストシート!$I$9:$I$208,"&gt;0")</f>
        <v>0</v>
      </c>
      <c r="AF404" s="551" t="s">
        <v>0</v>
      </c>
      <c r="AG404" s="545">
        <f>COUNTIFS(集計アシストシート!$D$9:$D$208,"非正規",集計アシストシート!$G$9:$G$208,"&gt;=30",集計アシストシート!$G$9:$G$208,"&lt;40",集計アシストシート!$J$9:$J$208,"&gt;=24",集計アシストシート!$J$9:$J$208,"&lt;36",集計アシストシート!$I$9:$I$208,"&gt;0")</f>
        <v>0</v>
      </c>
      <c r="AH404" s="551" t="s">
        <v>0</v>
      </c>
      <c r="AI404" s="545">
        <f>COUNTIFS(集計アシストシート!$D$9:$D$208,"非正規",集計アシストシート!$G$9:$G$208,"&gt;=30",集計アシストシート!$G$9:$G$208,"&lt;40",集計アシストシート!$J$9:$J$208,"&gt;=36",集計アシストシート!$J$9:$J$208,"&lt;48",集計アシストシート!$I$9:$I$208,"&gt;0")</f>
        <v>0</v>
      </c>
      <c r="AJ404" s="551" t="s">
        <v>0</v>
      </c>
      <c r="AK404" s="545">
        <f>COUNTIFS(集計アシストシート!$D$9:$D$208,"非正規",集計アシストシート!$G$9:$G$208,"&gt;=30",集計アシストシート!$G$9:$G$208,"&lt;40",集計アシストシート!$J$9:$J$208,"&gt;=48",集計アシストシート!$J$9:$J$208,"&lt;60",集計アシストシート!$I$9:$I$208,"&gt;0")</f>
        <v>0</v>
      </c>
      <c r="AL404" s="551" t="s">
        <v>0</v>
      </c>
      <c r="AM404" s="545">
        <f>COUNTIFS(集計アシストシート!$D$9:$D$208,"非正規",集計アシストシート!$G$9:$G$208,"&gt;=30",集計アシストシート!$G$9:$G$208,"&lt;40",集計アシストシート!$J$9:$J$208,"&gt;=60",集計アシストシート!$J$9:$J$208,"&lt;120",集計アシストシート!$I$9:$I$208,"&gt;0")</f>
        <v>0</v>
      </c>
      <c r="AN404" s="551" t="s">
        <v>0</v>
      </c>
      <c r="AO404" s="545">
        <f>COUNTIFS(集計アシストシート!$D$9:$D$208,"非正規",集計アシストシート!$G$9:$G$208,"&gt;=30",集計アシストシート!$G$9:$G$208,"&lt;40",集計アシストシート!$J$9:$J$208,"&gt;=120",集計アシストシート!$I$9:$I$208,"&gt;0")</f>
        <v>0</v>
      </c>
      <c r="AP404" s="552" t="s">
        <v>0</v>
      </c>
      <c r="AQ404" s="553">
        <f t="shared" si="14"/>
        <v>0</v>
      </c>
      <c r="AR404" s="554" t="s">
        <v>71</v>
      </c>
    </row>
    <row r="405" spans="1:44" ht="24.95" customHeight="1" x14ac:dyDescent="0.15">
      <c r="A405" s="202"/>
      <c r="B405" s="1161"/>
      <c r="C405" s="712" t="s">
        <v>204</v>
      </c>
      <c r="D405" s="713"/>
      <c r="E405" s="713"/>
      <c r="F405" s="107"/>
      <c r="G405" s="108" t="s">
        <v>0</v>
      </c>
      <c r="H405" s="109"/>
      <c r="I405" s="108" t="s">
        <v>0</v>
      </c>
      <c r="J405" s="107"/>
      <c r="K405" s="108" t="s">
        <v>0</v>
      </c>
      <c r="L405" s="109"/>
      <c r="M405" s="108" t="s">
        <v>0</v>
      </c>
      <c r="N405" s="107"/>
      <c r="O405" s="108" t="s">
        <v>0</v>
      </c>
      <c r="P405" s="109"/>
      <c r="Q405" s="108" t="s">
        <v>0</v>
      </c>
      <c r="R405" s="109"/>
      <c r="S405" s="110" t="s">
        <v>0</v>
      </c>
      <c r="T405" s="111">
        <f t="shared" si="13"/>
        <v>0</v>
      </c>
      <c r="U405" s="119" t="s">
        <v>71</v>
      </c>
      <c r="W405" s="391"/>
      <c r="X405" s="390" t="s">
        <v>1739</v>
      </c>
      <c r="Y405" s="1496"/>
      <c r="Z405" s="1489" t="s">
        <v>204</v>
      </c>
      <c r="AA405" s="1490"/>
      <c r="AB405" s="1490"/>
      <c r="AC405" s="545">
        <f>COUNTIFS(集計アシストシート!$D$9:$D$208,"非正規",集計アシストシート!$G$9:$G$208,"&gt;=40",集計アシストシート!$G$9:$G$208,"&lt;50",集計アシストシート!$J$9:$J$208,"&lt;12",集計アシストシート!$I$9:$I$208,"&gt;0")</f>
        <v>0</v>
      </c>
      <c r="AD405" s="551" t="s">
        <v>0</v>
      </c>
      <c r="AE405" s="545">
        <f>COUNTIFS(集計アシストシート!$D$9:$D$208,"非正規",集計アシストシート!$G$9:$G$208,"&gt;=40",集計アシストシート!$G$9:$G$208,"&lt;50",集計アシストシート!$J$9:$J$208,"&gt;=12",集計アシストシート!$J$9:$J$208,"&lt;24",集計アシストシート!$I$9:$I$208,"&gt;0")</f>
        <v>0</v>
      </c>
      <c r="AF405" s="551" t="s">
        <v>0</v>
      </c>
      <c r="AG405" s="545">
        <f>COUNTIFS(集計アシストシート!$D$9:$D$208,"非正規",集計アシストシート!$G$9:$G$208,"&gt;=40",集計アシストシート!$G$9:$G$208,"&lt;50",集計アシストシート!$J$9:$J$208,"&gt;=24",集計アシストシート!$J$9:$J$208,"&lt;36",集計アシストシート!$I$9:$I$208,"&gt;0")</f>
        <v>0</v>
      </c>
      <c r="AH405" s="551" t="s">
        <v>0</v>
      </c>
      <c r="AI405" s="545">
        <f>COUNTIFS(集計アシストシート!$D$9:$D$208,"非正規",集計アシストシート!$G$9:$G$208,"&gt;=40",集計アシストシート!$G$9:$G$208,"&lt;50",集計アシストシート!$J$9:$J$208,"&gt;=36",集計アシストシート!$J$9:$J$208,"&lt;48",集計アシストシート!$I$9:$I$208,"&gt;0")</f>
        <v>0</v>
      </c>
      <c r="AJ405" s="551" t="s">
        <v>0</v>
      </c>
      <c r="AK405" s="545">
        <f>COUNTIFS(集計アシストシート!$D$9:$D$208,"非正規",集計アシストシート!$G$9:$G$208,"&gt;=40",集計アシストシート!$G$9:$G$208,"&lt;50",集計アシストシート!$J$9:$J$208,"&gt;=48",集計アシストシート!$J$9:$J$208,"&lt;60",集計アシストシート!$I$9:$I$208,"&gt;0")</f>
        <v>0</v>
      </c>
      <c r="AL405" s="551" t="s">
        <v>0</v>
      </c>
      <c r="AM405" s="545">
        <f>COUNTIFS(集計アシストシート!$D$9:$D$208,"非正規",集計アシストシート!$G$9:$G$208,"&gt;=40",集計アシストシート!$G$9:$G$208,"&lt;50",集計アシストシート!$J$9:$J$208,"&gt;=60",集計アシストシート!$J$9:$J$208,"&lt;120",集計アシストシート!$I$9:$I$208,"&gt;0")</f>
        <v>0</v>
      </c>
      <c r="AN405" s="551" t="s">
        <v>0</v>
      </c>
      <c r="AO405" s="545">
        <f>COUNTIFS(集計アシストシート!$D$9:$D$208,"非正規",集計アシストシート!$G$9:$G$208,"&gt;=40",集計アシストシート!$G$9:$G$208,"&lt;50",集計アシストシート!$J$9:$J$208,"&gt;=120",集計アシストシート!$I$9:$I$208,"&gt;0")</f>
        <v>0</v>
      </c>
      <c r="AP405" s="552" t="s">
        <v>0</v>
      </c>
      <c r="AQ405" s="553">
        <f t="shared" si="14"/>
        <v>0</v>
      </c>
      <c r="AR405" s="554" t="s">
        <v>71</v>
      </c>
    </row>
    <row r="406" spans="1:44" ht="24.95" customHeight="1" x14ac:dyDescent="0.15">
      <c r="A406" s="202"/>
      <c r="B406" s="1161"/>
      <c r="C406" s="712" t="s">
        <v>205</v>
      </c>
      <c r="D406" s="713"/>
      <c r="E406" s="713"/>
      <c r="F406" s="107"/>
      <c r="G406" s="108" t="s">
        <v>0</v>
      </c>
      <c r="H406" s="109"/>
      <c r="I406" s="108" t="s">
        <v>0</v>
      </c>
      <c r="J406" s="107"/>
      <c r="K406" s="108" t="s">
        <v>0</v>
      </c>
      <c r="L406" s="109"/>
      <c r="M406" s="108" t="s">
        <v>0</v>
      </c>
      <c r="N406" s="107"/>
      <c r="O406" s="108" t="s">
        <v>0</v>
      </c>
      <c r="P406" s="109"/>
      <c r="Q406" s="108" t="s">
        <v>0</v>
      </c>
      <c r="R406" s="109"/>
      <c r="S406" s="110" t="s">
        <v>0</v>
      </c>
      <c r="T406" s="111">
        <f t="shared" si="13"/>
        <v>0</v>
      </c>
      <c r="U406" s="119" t="s">
        <v>71</v>
      </c>
      <c r="W406" s="391"/>
      <c r="X406" s="390" t="s">
        <v>1739</v>
      </c>
      <c r="Y406" s="1496"/>
      <c r="Z406" s="1489" t="s">
        <v>205</v>
      </c>
      <c r="AA406" s="1490"/>
      <c r="AB406" s="1490"/>
      <c r="AC406" s="545">
        <f>COUNTIFS(集計アシストシート!$D$9:$D$208,"非正規",集計アシストシート!$G$9:$G$208,"&gt;=50",集計アシストシート!$G$9:$G$208,"&lt;60",集計アシストシート!$J$9:$J$208,"&lt;12",集計アシストシート!$I$9:$I$208,"&gt;0")</f>
        <v>0</v>
      </c>
      <c r="AD406" s="551" t="s">
        <v>0</v>
      </c>
      <c r="AE406" s="545">
        <f>COUNTIFS(集計アシストシート!$D$9:$D$208,"非正規",集計アシストシート!$G$9:$G$208,"&gt;=50",集計アシストシート!$G$9:$G$208,"&lt;60",集計アシストシート!$J$9:$J$208,"&gt;=12",集計アシストシート!$J$9:$J$208,"&lt;24",集計アシストシート!$I$9:$I$208,"&gt;0")</f>
        <v>0</v>
      </c>
      <c r="AF406" s="551" t="s">
        <v>0</v>
      </c>
      <c r="AG406" s="545">
        <f>COUNTIFS(集計アシストシート!$D$9:$D$208,"非正規",集計アシストシート!$G$9:$G$208,"&gt;=50",集計アシストシート!$G$9:$G$208,"&lt;60",集計アシストシート!$J$9:$J$208,"&gt;=24",集計アシストシート!$J$9:$J$208,"&lt;36",集計アシストシート!$I$9:$I$208,"&gt;0")</f>
        <v>0</v>
      </c>
      <c r="AH406" s="551" t="s">
        <v>0</v>
      </c>
      <c r="AI406" s="545">
        <f>COUNTIFS(集計アシストシート!$D$9:$D$208,"非正規",集計アシストシート!$G$9:$G$208,"&gt;=50",集計アシストシート!$G$9:$G$208,"&lt;60",集計アシストシート!$J$9:$J$208,"&gt;=36",集計アシストシート!$J$9:$J$208,"&lt;48",集計アシストシート!$I$9:$I$208,"&gt;0")</f>
        <v>0</v>
      </c>
      <c r="AJ406" s="551" t="s">
        <v>0</v>
      </c>
      <c r="AK406" s="545">
        <f>COUNTIFS(集計アシストシート!$D$9:$D$208,"非正規",集計アシストシート!$G$9:$G$208,"&gt;=50",集計アシストシート!$G$9:$G$208,"&lt;60",集計アシストシート!$J$9:$J$208,"&gt;=48",集計アシストシート!$J$9:$J$208,"&lt;60",集計アシストシート!$I$9:$I$208,"&gt;0")</f>
        <v>0</v>
      </c>
      <c r="AL406" s="551" t="s">
        <v>0</v>
      </c>
      <c r="AM406" s="545">
        <f>COUNTIFS(集計アシストシート!$D$9:$D$208,"非正規",集計アシストシート!$G$9:$G$208,"&gt;=50",集計アシストシート!$G$9:$G$208,"&lt;60",集計アシストシート!$J$9:$J$208,"&gt;=60",集計アシストシート!$J$9:$J$208,"&lt;120",集計アシストシート!$I$9:$I$208,"&gt;0")</f>
        <v>0</v>
      </c>
      <c r="AN406" s="551" t="s">
        <v>0</v>
      </c>
      <c r="AO406" s="545">
        <f>COUNTIFS(集計アシストシート!$D$9:$D$208,"非正規",集計アシストシート!$G$9:$G$208,"&gt;=50",集計アシストシート!$G$9:$G$208,"&lt;60",集計アシストシート!$J$9:$J$208,"&gt;=120",集計アシストシート!$I$9:$I$208,"&gt;0")</f>
        <v>0</v>
      </c>
      <c r="AP406" s="552" t="s">
        <v>0</v>
      </c>
      <c r="AQ406" s="553">
        <f t="shared" si="14"/>
        <v>0</v>
      </c>
      <c r="AR406" s="554" t="s">
        <v>71</v>
      </c>
    </row>
    <row r="407" spans="1:44" ht="24.95" customHeight="1" thickBot="1" x14ac:dyDescent="0.2">
      <c r="A407" s="202"/>
      <c r="B407" s="1161"/>
      <c r="C407" s="836" t="s">
        <v>206</v>
      </c>
      <c r="D407" s="837"/>
      <c r="E407" s="837"/>
      <c r="F407" s="112"/>
      <c r="G407" s="113" t="s">
        <v>0</v>
      </c>
      <c r="H407" s="114"/>
      <c r="I407" s="113" t="s">
        <v>0</v>
      </c>
      <c r="J407" s="112"/>
      <c r="K407" s="113" t="s">
        <v>0</v>
      </c>
      <c r="L407" s="114"/>
      <c r="M407" s="113" t="s">
        <v>0</v>
      </c>
      <c r="N407" s="112"/>
      <c r="O407" s="113" t="s">
        <v>0</v>
      </c>
      <c r="P407" s="114"/>
      <c r="Q407" s="113" t="s">
        <v>0</v>
      </c>
      <c r="R407" s="114"/>
      <c r="S407" s="115" t="s">
        <v>0</v>
      </c>
      <c r="T407" s="116">
        <f t="shared" si="13"/>
        <v>0</v>
      </c>
      <c r="U407" s="120" t="s">
        <v>71</v>
      </c>
      <c r="W407" s="391"/>
      <c r="X407" s="390" t="s">
        <v>1739</v>
      </c>
      <c r="Y407" s="1496"/>
      <c r="Z407" s="1491" t="s">
        <v>206</v>
      </c>
      <c r="AA407" s="1492"/>
      <c r="AB407" s="1492"/>
      <c r="AC407" s="545">
        <f>COUNTIFS(集計アシストシート!$D$9:$D$208,"非正規",集計アシストシート!$G$9:$G$208,"&gt;=60",集計アシストシート!$J$9:$J$208,"&lt;12",集計アシストシート!$I$9:$I$208,"&gt;0")</f>
        <v>0</v>
      </c>
      <c r="AD407" s="555" t="s">
        <v>0</v>
      </c>
      <c r="AE407" s="545">
        <f>COUNTIFS(集計アシストシート!$D$9:$D$208,"非正規",集計アシストシート!$G$9:$G$208,"&gt;=60",集計アシストシート!$J$9:$J$208,"&gt;=12",集計アシストシート!$J$9:$J$208,"&lt;24",集計アシストシート!$I$9:$I$208,"&gt;0")</f>
        <v>0</v>
      </c>
      <c r="AF407" s="555" t="s">
        <v>0</v>
      </c>
      <c r="AG407" s="545">
        <f>COUNTIFS(集計アシストシート!$D$9:$D$208,"非正規",集計アシストシート!$G$9:$G$208,"&gt;=60",集計アシストシート!$J$9:$J$208,"&gt;=24",集計アシストシート!$J$9:$J$208,"&lt;36",集計アシストシート!$I$9:$I$208,"&gt;0")</f>
        <v>0</v>
      </c>
      <c r="AH407" s="555" t="s">
        <v>0</v>
      </c>
      <c r="AI407" s="545">
        <f>COUNTIFS(集計アシストシート!$D$9:$D$208,"非正規",集計アシストシート!$G$9:$G$208,"&gt;=60",集計アシストシート!$J$9:$J$208,"&gt;=36",集計アシストシート!$J$9:$J$208,"&lt;48",集計アシストシート!$I$9:$I$208,"&gt;0")</f>
        <v>0</v>
      </c>
      <c r="AJ407" s="555" t="s">
        <v>0</v>
      </c>
      <c r="AK407" s="545">
        <f>COUNTIFS(集計アシストシート!$D$9:$D$208,"非正規",集計アシストシート!$G$9:$G$208,"&gt;=60",集計アシストシート!$J$9:$J$208,"&gt;=48",集計アシストシート!$J$9:$J$208,"&lt;60",集計アシストシート!$I$9:$I$208,"&gt;0")</f>
        <v>0</v>
      </c>
      <c r="AL407" s="555" t="s">
        <v>0</v>
      </c>
      <c r="AM407" s="545">
        <f>COUNTIFS(集計アシストシート!$D$9:$D$208,"非正規",集計アシストシート!$G$9:$G$208,"&gt;=60",集計アシストシート!$J$9:$J$208,"&gt;=60",集計アシストシート!$J$9:$J$208,"&lt;120",集計アシストシート!$I$9:$I$208,"&gt;0")</f>
        <v>0</v>
      </c>
      <c r="AN407" s="555" t="s">
        <v>0</v>
      </c>
      <c r="AO407" s="545">
        <f>COUNTIFS(集計アシストシート!$D$9:$D$208,"非正規",集計アシストシート!$G$9:$G$208,"&gt;=60",集計アシストシート!$J$9:$J$208,"&gt;=120",集計アシストシート!$I$9:$I$208,"&gt;0")</f>
        <v>0</v>
      </c>
      <c r="AP407" s="556" t="s">
        <v>0</v>
      </c>
      <c r="AQ407" s="557">
        <f t="shared" si="14"/>
        <v>0</v>
      </c>
      <c r="AR407" s="558" t="s">
        <v>71</v>
      </c>
    </row>
    <row r="408" spans="1:44" ht="24.95" customHeight="1" thickTop="1" x14ac:dyDescent="0.15">
      <c r="A408" s="202"/>
      <c r="B408" s="1162"/>
      <c r="C408" s="838" t="s">
        <v>410</v>
      </c>
      <c r="D408" s="839"/>
      <c r="E408" s="839"/>
      <c r="F408" s="121" t="str">
        <f>IF(F402+F403+F404+F405+F406+F407=0,"",F402+F403+F404+F405+F406+F407)</f>
        <v/>
      </c>
      <c r="G408" s="121" t="s">
        <v>0</v>
      </c>
      <c r="H408" s="501" t="str">
        <f>IF(H402+H403+H404+H405+H406+H407=0,"",H402+H403+H404+H405+H406+H407)</f>
        <v/>
      </c>
      <c r="I408" s="122" t="s">
        <v>0</v>
      </c>
      <c r="J408" s="121" t="str">
        <f>IF(J402+J403+J404+J405+J406+J407=0,"",J402+J403+J404+J405+J406+J407)</f>
        <v/>
      </c>
      <c r="K408" s="121" t="s">
        <v>0</v>
      </c>
      <c r="L408" s="501" t="str">
        <f>IF(L402+L403+L404+L405+L406+L407=0,"",L402+L403+L404+L405+L406+L407)</f>
        <v/>
      </c>
      <c r="M408" s="122" t="s">
        <v>0</v>
      </c>
      <c r="N408" s="121" t="str">
        <f>IF(N402+N403+N404+N405+N406+N407=0,"",N402+N403+N404+N405+N406+N407)</f>
        <v/>
      </c>
      <c r="O408" s="121" t="s">
        <v>0</v>
      </c>
      <c r="P408" s="501" t="str">
        <f>IF(P402+P403+P404+P405+P406+P407=0,"",P402+P403+P404+P405+P406+P407)</f>
        <v/>
      </c>
      <c r="Q408" s="122" t="s">
        <v>0</v>
      </c>
      <c r="R408" s="501" t="str">
        <f>IF(R402+R403+R404+R405+R406+R407=0,"",R402+R403+R404+R405+R406+R407)</f>
        <v/>
      </c>
      <c r="S408" s="121" t="s">
        <v>0</v>
      </c>
      <c r="T408" s="123">
        <f t="shared" si="13"/>
        <v>0</v>
      </c>
      <c r="U408" s="124" t="s">
        <v>71</v>
      </c>
      <c r="W408" s="391"/>
      <c r="X408" s="390" t="s">
        <v>1739</v>
      </c>
      <c r="Y408" s="1497"/>
      <c r="Z408" s="1493" t="s">
        <v>410</v>
      </c>
      <c r="AA408" s="1494"/>
      <c r="AB408" s="1494"/>
      <c r="AC408" s="559" t="str">
        <f>IF(AC402+AC403+AC404+AC405+AC406+AC407=0,"",AC402+AC403+AC404+AC405+AC406+AC407)</f>
        <v/>
      </c>
      <c r="AD408" s="559" t="s">
        <v>0</v>
      </c>
      <c r="AE408" s="560" t="str">
        <f>IF(AE402+AE403+AE404+AE405+AE406+AE407=0,"",AE402+AE403+AE404+AE405+AE406+AE407)</f>
        <v/>
      </c>
      <c r="AF408" s="561" t="s">
        <v>0</v>
      </c>
      <c r="AG408" s="559" t="str">
        <f>IF(AG402+AG403+AG404+AG405+AG406+AG407=0,"",AG402+AG403+AG404+AG405+AG406+AG407)</f>
        <v/>
      </c>
      <c r="AH408" s="559" t="s">
        <v>0</v>
      </c>
      <c r="AI408" s="560" t="str">
        <f>IF(AI402+AI403+AI404+AI405+AI406+AI407=0,"",AI402+AI403+AI404+AI405+AI406+AI407)</f>
        <v/>
      </c>
      <c r="AJ408" s="561" t="s">
        <v>0</v>
      </c>
      <c r="AK408" s="559" t="str">
        <f>IF(AK402+AK403+AK404+AK405+AK406+AK407=0,"",AK402+AK403+AK404+AK405+AK406+AK407)</f>
        <v/>
      </c>
      <c r="AL408" s="559" t="s">
        <v>0</v>
      </c>
      <c r="AM408" s="560" t="str">
        <f>IF(AM402+AM403+AM404+AM405+AM406+AM407=0,"",AM402+AM403+AM404+AM405+AM406+AM407)</f>
        <v/>
      </c>
      <c r="AN408" s="561" t="s">
        <v>0</v>
      </c>
      <c r="AO408" s="560" t="str">
        <f>IF(AO402+AO403+AO404+AO405+AO406+AO407=0,"",AO402+AO403+AO404+AO405+AO406+AO407)</f>
        <v/>
      </c>
      <c r="AP408" s="559" t="s">
        <v>0</v>
      </c>
      <c r="AQ408" s="562">
        <f t="shared" si="14"/>
        <v>0</v>
      </c>
      <c r="AR408" s="563" t="s">
        <v>71</v>
      </c>
    </row>
    <row r="409" spans="1:44" ht="27" hidden="1" customHeight="1" x14ac:dyDescent="0.15">
      <c r="A409" s="200"/>
      <c r="B409" s="201"/>
      <c r="C409" s="453"/>
      <c r="D409" s="453"/>
      <c r="E409" s="160"/>
      <c r="F409" s="457"/>
      <c r="G409" s="457"/>
      <c r="H409" s="457"/>
      <c r="I409" s="457"/>
      <c r="J409" s="457"/>
      <c r="K409" s="457"/>
      <c r="L409" s="457"/>
      <c r="M409" s="457"/>
      <c r="N409" s="457"/>
      <c r="O409" s="457"/>
      <c r="P409" s="457"/>
      <c r="Q409" s="198"/>
      <c r="R409" s="198"/>
      <c r="S409" s="198"/>
      <c r="T409" s="60"/>
      <c r="U409" s="60"/>
      <c r="X409" s="392" t="s">
        <v>1676</v>
      </c>
    </row>
    <row r="410" spans="1:44" ht="27" hidden="1" customHeight="1" x14ac:dyDescent="0.15">
      <c r="B410" s="1294" t="s">
        <v>114</v>
      </c>
      <c r="C410" s="1294"/>
      <c r="D410" s="1294"/>
      <c r="E410" s="728" t="s">
        <v>215</v>
      </c>
      <c r="F410" s="729"/>
      <c r="G410" s="729"/>
      <c r="H410" s="729"/>
      <c r="I410" s="729"/>
      <c r="J410" s="730"/>
      <c r="K410" s="729" t="s">
        <v>216</v>
      </c>
      <c r="L410" s="729"/>
      <c r="M410" s="729"/>
      <c r="N410" s="729"/>
      <c r="O410" s="729"/>
      <c r="P410" s="785"/>
      <c r="X410" s="392" t="s">
        <v>1676</v>
      </c>
    </row>
    <row r="411" spans="1:44" ht="27" hidden="1" customHeight="1" x14ac:dyDescent="0.15">
      <c r="B411" s="731"/>
      <c r="C411" s="731"/>
      <c r="D411" s="731"/>
      <c r="E411" s="1344" t="s">
        <v>116</v>
      </c>
      <c r="F411" s="1345"/>
      <c r="G411" s="1279"/>
      <c r="H411" s="1344" t="s">
        <v>117</v>
      </c>
      <c r="I411" s="1345"/>
      <c r="J411" s="1346"/>
      <c r="K411" s="1279" t="s">
        <v>116</v>
      </c>
      <c r="L411" s="833"/>
      <c r="M411" s="833"/>
      <c r="N411" s="833" t="s">
        <v>117</v>
      </c>
      <c r="O411" s="833"/>
      <c r="P411" s="833"/>
      <c r="X411" s="392" t="s">
        <v>1676</v>
      </c>
    </row>
    <row r="412" spans="1:44" ht="27" hidden="1" customHeight="1" x14ac:dyDescent="0.15">
      <c r="B412" s="1147" t="s">
        <v>115</v>
      </c>
      <c r="C412" s="1148"/>
      <c r="D412" s="1149"/>
      <c r="E412" s="834"/>
      <c r="F412" s="835"/>
      <c r="G412" s="92" t="s">
        <v>0</v>
      </c>
      <c r="H412" s="834"/>
      <c r="I412" s="835"/>
      <c r="J412" s="93" t="s">
        <v>0</v>
      </c>
      <c r="K412" s="835"/>
      <c r="L412" s="835"/>
      <c r="M412" s="92" t="s">
        <v>0</v>
      </c>
      <c r="N412" s="834"/>
      <c r="O412" s="835"/>
      <c r="P412" s="92" t="s">
        <v>0</v>
      </c>
      <c r="X412" s="392" t="s">
        <v>1676</v>
      </c>
    </row>
    <row r="413" spans="1:44" ht="27" hidden="1" customHeight="1" x14ac:dyDescent="0.15">
      <c r="B413" s="795" t="s">
        <v>230</v>
      </c>
      <c r="C413" s="796"/>
      <c r="D413" s="797"/>
      <c r="E413" s="1088"/>
      <c r="F413" s="1089"/>
      <c r="G413" s="87" t="s">
        <v>0</v>
      </c>
      <c r="H413" s="1088"/>
      <c r="I413" s="1089"/>
      <c r="J413" s="88" t="s">
        <v>0</v>
      </c>
      <c r="K413" s="1089"/>
      <c r="L413" s="1089"/>
      <c r="M413" s="87" t="s">
        <v>0</v>
      </c>
      <c r="N413" s="1088"/>
      <c r="O413" s="1089"/>
      <c r="P413" s="87" t="s">
        <v>0</v>
      </c>
      <c r="X413" s="392" t="s">
        <v>1676</v>
      </c>
    </row>
    <row r="414" spans="1:44" ht="27" hidden="1" customHeight="1" x14ac:dyDescent="0.15">
      <c r="B414" s="795" t="s">
        <v>231</v>
      </c>
      <c r="C414" s="796"/>
      <c r="D414" s="797"/>
      <c r="E414" s="1088"/>
      <c r="F414" s="1089"/>
      <c r="G414" s="87" t="s">
        <v>0</v>
      </c>
      <c r="H414" s="1088"/>
      <c r="I414" s="1089"/>
      <c r="J414" s="88" t="s">
        <v>0</v>
      </c>
      <c r="K414" s="1089"/>
      <c r="L414" s="1089"/>
      <c r="M414" s="87" t="s">
        <v>0</v>
      </c>
      <c r="N414" s="1088"/>
      <c r="O414" s="1089"/>
      <c r="P414" s="87" t="s">
        <v>0</v>
      </c>
      <c r="X414" s="392" t="s">
        <v>1676</v>
      </c>
    </row>
    <row r="415" spans="1:44" ht="27" hidden="1" customHeight="1" x14ac:dyDescent="0.15">
      <c r="B415" s="795" t="s">
        <v>232</v>
      </c>
      <c r="C415" s="796"/>
      <c r="D415" s="797"/>
      <c r="E415" s="1088"/>
      <c r="F415" s="1089"/>
      <c r="G415" s="87" t="s">
        <v>0</v>
      </c>
      <c r="H415" s="1088"/>
      <c r="I415" s="1089"/>
      <c r="J415" s="88" t="s">
        <v>0</v>
      </c>
      <c r="K415" s="1089"/>
      <c r="L415" s="1089"/>
      <c r="M415" s="87" t="s">
        <v>0</v>
      </c>
      <c r="N415" s="1088"/>
      <c r="O415" s="1089"/>
      <c r="P415" s="87" t="s">
        <v>0</v>
      </c>
      <c r="X415" s="392" t="s">
        <v>1676</v>
      </c>
    </row>
    <row r="416" spans="1:44" ht="27" hidden="1" customHeight="1" x14ac:dyDescent="0.15">
      <c r="B416" s="795" t="s">
        <v>233</v>
      </c>
      <c r="C416" s="796"/>
      <c r="D416" s="797"/>
      <c r="E416" s="1088"/>
      <c r="F416" s="1089"/>
      <c r="G416" s="87" t="s">
        <v>0</v>
      </c>
      <c r="H416" s="1088"/>
      <c r="I416" s="1089"/>
      <c r="J416" s="88" t="s">
        <v>0</v>
      </c>
      <c r="K416" s="1089"/>
      <c r="L416" s="1089"/>
      <c r="M416" s="87" t="s">
        <v>0</v>
      </c>
      <c r="N416" s="1088"/>
      <c r="O416" s="1089"/>
      <c r="P416" s="87" t="s">
        <v>0</v>
      </c>
      <c r="X416" s="392" t="s">
        <v>1676</v>
      </c>
    </row>
    <row r="417" spans="1:24" ht="27" hidden="1" customHeight="1" x14ac:dyDescent="0.15">
      <c r="B417" s="795" t="s">
        <v>234</v>
      </c>
      <c r="C417" s="796"/>
      <c r="D417" s="797"/>
      <c r="E417" s="1088"/>
      <c r="F417" s="1089"/>
      <c r="G417" s="87" t="s">
        <v>0</v>
      </c>
      <c r="H417" s="1088"/>
      <c r="I417" s="1089"/>
      <c r="J417" s="88" t="s">
        <v>0</v>
      </c>
      <c r="K417" s="1089"/>
      <c r="L417" s="1089"/>
      <c r="M417" s="87" t="s">
        <v>0</v>
      </c>
      <c r="N417" s="1088"/>
      <c r="O417" s="1089"/>
      <c r="P417" s="87" t="s">
        <v>0</v>
      </c>
      <c r="X417" s="392" t="s">
        <v>1676</v>
      </c>
    </row>
    <row r="418" spans="1:24" ht="27" hidden="1" customHeight="1" x14ac:dyDescent="0.15">
      <c r="B418" s="1482" t="s">
        <v>163</v>
      </c>
      <c r="C418" s="1483"/>
      <c r="D418" s="1484"/>
      <c r="E418" s="1141"/>
      <c r="F418" s="1142"/>
      <c r="G418" s="89" t="s">
        <v>0</v>
      </c>
      <c r="H418" s="1141"/>
      <c r="I418" s="1142"/>
      <c r="J418" s="90" t="s">
        <v>0</v>
      </c>
      <c r="K418" s="1142"/>
      <c r="L418" s="1142"/>
      <c r="M418" s="89" t="s">
        <v>0</v>
      </c>
      <c r="N418" s="1141"/>
      <c r="O418" s="1142"/>
      <c r="P418" s="89" t="s">
        <v>0</v>
      </c>
      <c r="X418" s="392" t="s">
        <v>1676</v>
      </c>
    </row>
    <row r="419" spans="1:24" ht="13.5" hidden="1" customHeight="1" x14ac:dyDescent="0.15">
      <c r="N419" s="54"/>
      <c r="X419" s="392" t="s">
        <v>1676</v>
      </c>
    </row>
    <row r="420" spans="1:24" ht="13.5" customHeight="1" x14ac:dyDescent="0.15">
      <c r="A420" s="57"/>
      <c r="B420" s="447"/>
      <c r="C420" s="447"/>
      <c r="D420" s="447"/>
      <c r="E420" s="453"/>
      <c r="F420" s="453"/>
      <c r="G420" s="453"/>
      <c r="H420" s="453"/>
      <c r="I420" s="453"/>
      <c r="J420" s="453"/>
      <c r="K420" s="453"/>
      <c r="L420" s="453"/>
      <c r="M420" s="453"/>
      <c r="N420" s="453"/>
      <c r="O420" s="453"/>
      <c r="P420" s="453"/>
      <c r="Q420" s="453"/>
      <c r="R420" s="453"/>
      <c r="S420" s="453"/>
      <c r="T420" s="453"/>
    </row>
    <row r="421" spans="1:24" ht="27" customHeight="1" x14ac:dyDescent="0.15">
      <c r="A421" s="840" t="s">
        <v>1773</v>
      </c>
      <c r="B421" s="840"/>
      <c r="C421" s="840"/>
      <c r="D421" s="840"/>
      <c r="E421" s="840"/>
      <c r="F421" s="840"/>
      <c r="G421" s="840"/>
      <c r="H421" s="36"/>
      <c r="O421" s="55"/>
      <c r="P421" s="55"/>
      <c r="Q421" s="55"/>
    </row>
    <row r="422" spans="1:24" ht="13.5" customHeight="1" x14ac:dyDescent="0.15">
      <c r="A422" s="54" t="s">
        <v>237</v>
      </c>
      <c r="B422" s="749" t="s">
        <v>242</v>
      </c>
      <c r="C422" s="749"/>
      <c r="D422" s="749"/>
      <c r="E422" s="749"/>
      <c r="F422" s="749"/>
      <c r="G422" s="749"/>
      <c r="H422" s="749"/>
      <c r="I422" s="749"/>
      <c r="J422" s="749"/>
      <c r="K422" s="749"/>
      <c r="L422" s="749"/>
      <c r="M422" s="749"/>
      <c r="N422" s="749"/>
      <c r="O422" s="749"/>
      <c r="P422" s="749"/>
      <c r="Q422" s="749"/>
      <c r="R422" s="749"/>
      <c r="S422" s="749"/>
      <c r="T422" s="749"/>
    </row>
    <row r="423" spans="1:24" ht="13.5" customHeight="1" x14ac:dyDescent="0.15">
      <c r="B423" s="749"/>
      <c r="C423" s="749"/>
      <c r="D423" s="749"/>
      <c r="E423" s="749"/>
      <c r="F423" s="749"/>
      <c r="G423" s="749"/>
      <c r="H423" s="749"/>
      <c r="I423" s="749"/>
      <c r="J423" s="749"/>
      <c r="K423" s="749"/>
      <c r="L423" s="749"/>
      <c r="M423" s="749"/>
      <c r="N423" s="749"/>
      <c r="O423" s="749"/>
      <c r="P423" s="749"/>
      <c r="Q423" s="749"/>
      <c r="R423" s="749"/>
      <c r="S423" s="749"/>
      <c r="T423" s="749"/>
    </row>
    <row r="424" spans="1:24" ht="13.5" customHeight="1" x14ac:dyDescent="0.15">
      <c r="B424" s="426"/>
      <c r="C424" s="426"/>
      <c r="D424" s="426"/>
      <c r="E424" s="426"/>
      <c r="F424" s="426"/>
      <c r="G424" s="426"/>
      <c r="H424" s="426"/>
      <c r="I424" s="426"/>
      <c r="J424" s="426"/>
      <c r="K424" s="426"/>
      <c r="L424" s="426"/>
      <c r="M424" s="426"/>
      <c r="N424" s="426"/>
      <c r="O424" s="426"/>
      <c r="P424" s="426"/>
      <c r="Q424" s="426"/>
      <c r="R424" s="426"/>
      <c r="S424" s="426"/>
      <c r="T424" s="426"/>
    </row>
    <row r="425" spans="1:24" ht="30" customHeight="1" x14ac:dyDescent="0.15">
      <c r="B425" s="728" t="s">
        <v>240</v>
      </c>
      <c r="C425" s="729"/>
      <c r="D425" s="729"/>
      <c r="E425" s="785"/>
      <c r="F425" s="1115" t="s">
        <v>6</v>
      </c>
      <c r="G425" s="1115"/>
      <c r="H425" s="1115"/>
      <c r="I425" s="728" t="s">
        <v>506</v>
      </c>
      <c r="J425" s="729"/>
      <c r="K425" s="729"/>
      <c r="L425" s="785"/>
      <c r="M425" s="728" t="s">
        <v>507</v>
      </c>
      <c r="N425" s="729"/>
      <c r="O425" s="729"/>
      <c r="P425" s="785"/>
      <c r="Q425" s="1225" t="s">
        <v>508</v>
      </c>
      <c r="R425" s="1225"/>
      <c r="S425" s="1225"/>
      <c r="T425" s="1225"/>
    </row>
    <row r="426" spans="1:24" ht="24.95" customHeight="1" x14ac:dyDescent="0.15">
      <c r="B426" s="786" t="s">
        <v>7</v>
      </c>
      <c r="C426" s="787"/>
      <c r="D426" s="787"/>
      <c r="E426" s="788"/>
      <c r="F426" s="1368" t="s">
        <v>8</v>
      </c>
      <c r="G426" s="1368"/>
      <c r="H426" s="1368"/>
      <c r="I426" s="829"/>
      <c r="J426" s="830"/>
      <c r="K426" s="831"/>
      <c r="L426" s="433" t="s">
        <v>73</v>
      </c>
      <c r="M426" s="829"/>
      <c r="N426" s="830"/>
      <c r="O426" s="831"/>
      <c r="P426" s="433" t="s">
        <v>73</v>
      </c>
      <c r="Q426" s="1153">
        <f>SUM(I426,M426)</f>
        <v>0</v>
      </c>
      <c r="R426" s="1154"/>
      <c r="S426" s="1155"/>
      <c r="T426" s="204" t="s">
        <v>482</v>
      </c>
    </row>
    <row r="427" spans="1:24" ht="24.95" customHeight="1" x14ac:dyDescent="0.15">
      <c r="B427" s="789"/>
      <c r="C427" s="790"/>
      <c r="D427" s="790"/>
      <c r="E427" s="791"/>
      <c r="F427" s="1150" t="s">
        <v>9</v>
      </c>
      <c r="G427" s="1150"/>
      <c r="H427" s="1150"/>
      <c r="I427" s="841"/>
      <c r="J427" s="842"/>
      <c r="K427" s="843"/>
      <c r="L427" s="423" t="s">
        <v>73</v>
      </c>
      <c r="M427" s="841"/>
      <c r="N427" s="842"/>
      <c r="O427" s="843"/>
      <c r="P427" s="423" t="s">
        <v>73</v>
      </c>
      <c r="Q427" s="725">
        <f t="shared" ref="Q427:Q433" si="15">SUM(I427,M427)</f>
        <v>0</v>
      </c>
      <c r="R427" s="726"/>
      <c r="S427" s="727"/>
      <c r="T427" s="207" t="s">
        <v>482</v>
      </c>
    </row>
    <row r="428" spans="1:24" ht="24.95" customHeight="1" x14ac:dyDescent="0.15">
      <c r="B428" s="786" t="s">
        <v>10</v>
      </c>
      <c r="C428" s="787"/>
      <c r="D428" s="787"/>
      <c r="E428" s="788"/>
      <c r="F428" s="1368" t="s">
        <v>8</v>
      </c>
      <c r="G428" s="1368"/>
      <c r="H428" s="1368"/>
      <c r="I428" s="829"/>
      <c r="J428" s="830"/>
      <c r="K428" s="831"/>
      <c r="L428" s="433" t="s">
        <v>73</v>
      </c>
      <c r="M428" s="829"/>
      <c r="N428" s="830"/>
      <c r="O428" s="831"/>
      <c r="P428" s="433" t="s">
        <v>73</v>
      </c>
      <c r="Q428" s="1153">
        <f t="shared" si="15"/>
        <v>0</v>
      </c>
      <c r="R428" s="1154"/>
      <c r="S428" s="1155"/>
      <c r="T428" s="204" t="s">
        <v>482</v>
      </c>
    </row>
    <row r="429" spans="1:24" ht="24.95" customHeight="1" x14ac:dyDescent="0.15">
      <c r="B429" s="789"/>
      <c r="C429" s="790"/>
      <c r="D429" s="790"/>
      <c r="E429" s="791"/>
      <c r="F429" s="1150" t="s">
        <v>9</v>
      </c>
      <c r="G429" s="1150"/>
      <c r="H429" s="1150"/>
      <c r="I429" s="841"/>
      <c r="J429" s="842"/>
      <c r="K429" s="843"/>
      <c r="L429" s="423" t="s">
        <v>73</v>
      </c>
      <c r="M429" s="841"/>
      <c r="N429" s="842"/>
      <c r="O429" s="843"/>
      <c r="P429" s="423" t="s">
        <v>73</v>
      </c>
      <c r="Q429" s="725">
        <f t="shared" si="15"/>
        <v>0</v>
      </c>
      <c r="R429" s="726"/>
      <c r="S429" s="727"/>
      <c r="T429" s="207" t="s">
        <v>482</v>
      </c>
    </row>
    <row r="430" spans="1:24" ht="24.95" customHeight="1" x14ac:dyDescent="0.15">
      <c r="B430" s="786" t="s">
        <v>50</v>
      </c>
      <c r="C430" s="787"/>
      <c r="D430" s="787"/>
      <c r="E430" s="788"/>
      <c r="F430" s="1368" t="s">
        <v>8</v>
      </c>
      <c r="G430" s="1368"/>
      <c r="H430" s="1368"/>
      <c r="I430" s="829"/>
      <c r="J430" s="830"/>
      <c r="K430" s="831"/>
      <c r="L430" s="433" t="s">
        <v>73</v>
      </c>
      <c r="M430" s="829"/>
      <c r="N430" s="830"/>
      <c r="O430" s="831"/>
      <c r="P430" s="433" t="s">
        <v>73</v>
      </c>
      <c r="Q430" s="1153">
        <f t="shared" si="15"/>
        <v>0</v>
      </c>
      <c r="R430" s="1154"/>
      <c r="S430" s="1155"/>
      <c r="T430" s="204" t="s">
        <v>482</v>
      </c>
    </row>
    <row r="431" spans="1:24" ht="24.95" customHeight="1" thickBot="1" x14ac:dyDescent="0.2">
      <c r="B431" s="881"/>
      <c r="C431" s="882"/>
      <c r="D431" s="882"/>
      <c r="E431" s="883"/>
      <c r="F431" s="1295" t="s">
        <v>9</v>
      </c>
      <c r="G431" s="1295"/>
      <c r="H431" s="1295"/>
      <c r="I431" s="884"/>
      <c r="J431" s="885"/>
      <c r="K431" s="886"/>
      <c r="L431" s="443" t="s">
        <v>73</v>
      </c>
      <c r="M431" s="884"/>
      <c r="N431" s="885"/>
      <c r="O431" s="886"/>
      <c r="P431" s="443" t="s">
        <v>73</v>
      </c>
      <c r="Q431" s="810">
        <f t="shared" si="15"/>
        <v>0</v>
      </c>
      <c r="R431" s="811"/>
      <c r="S431" s="812"/>
      <c r="T431" s="348" t="s">
        <v>482</v>
      </c>
    </row>
    <row r="432" spans="1:24" ht="24.95" customHeight="1" thickTop="1" x14ac:dyDescent="0.15">
      <c r="B432" s="887" t="s">
        <v>241</v>
      </c>
      <c r="C432" s="888"/>
      <c r="D432" s="888"/>
      <c r="E432" s="889"/>
      <c r="F432" s="1144" t="s">
        <v>8</v>
      </c>
      <c r="G432" s="1144"/>
      <c r="H432" s="1144"/>
      <c r="I432" s="826"/>
      <c r="J432" s="827"/>
      <c r="K432" s="828"/>
      <c r="L432" s="458" t="s">
        <v>73</v>
      </c>
      <c r="M432" s="826"/>
      <c r="N432" s="827"/>
      <c r="O432" s="828"/>
      <c r="P432" s="458" t="s">
        <v>73</v>
      </c>
      <c r="Q432" s="813">
        <f t="shared" si="15"/>
        <v>0</v>
      </c>
      <c r="R432" s="814"/>
      <c r="S432" s="815"/>
      <c r="T432" s="349" t="s">
        <v>482</v>
      </c>
    </row>
    <row r="433" spans="1:21" ht="24.95" customHeight="1" x14ac:dyDescent="0.15">
      <c r="B433" s="789"/>
      <c r="C433" s="790"/>
      <c r="D433" s="790"/>
      <c r="E433" s="791"/>
      <c r="F433" s="1150" t="s">
        <v>9</v>
      </c>
      <c r="G433" s="1150"/>
      <c r="H433" s="1150"/>
      <c r="I433" s="841"/>
      <c r="J433" s="842"/>
      <c r="K433" s="843"/>
      <c r="L433" s="423" t="s">
        <v>73</v>
      </c>
      <c r="M433" s="841"/>
      <c r="N433" s="842"/>
      <c r="O433" s="843"/>
      <c r="P433" s="423" t="s">
        <v>73</v>
      </c>
      <c r="Q433" s="725">
        <f t="shared" si="15"/>
        <v>0</v>
      </c>
      <c r="R433" s="726"/>
      <c r="S433" s="727"/>
      <c r="T433" s="207" t="s">
        <v>482</v>
      </c>
    </row>
    <row r="434" spans="1:21" ht="13.5" customHeight="1" x14ac:dyDescent="0.15">
      <c r="B434" s="79" t="s">
        <v>238</v>
      </c>
      <c r="C434" s="1071" t="s">
        <v>269</v>
      </c>
      <c r="D434" s="1071"/>
      <c r="E434" s="1071"/>
      <c r="F434" s="1071"/>
      <c r="G434" s="1071"/>
      <c r="H434" s="1071"/>
      <c r="I434" s="1071"/>
      <c r="J434" s="1071"/>
      <c r="K434" s="1071"/>
      <c r="L434" s="1071"/>
      <c r="M434" s="1071"/>
      <c r="N434" s="1071"/>
      <c r="O434" s="1071"/>
      <c r="P434" s="1071"/>
      <c r="Q434" s="1071"/>
      <c r="R434" s="1071"/>
      <c r="S434" s="1071"/>
      <c r="T434" s="1071"/>
      <c r="U434" s="1071"/>
    </row>
    <row r="435" spans="1:21" ht="13.5" customHeight="1" x14ac:dyDescent="0.15">
      <c r="B435" s="79"/>
      <c r="C435" s="1071"/>
      <c r="D435" s="1071"/>
      <c r="E435" s="1071"/>
      <c r="F435" s="1071"/>
      <c r="G435" s="1071"/>
      <c r="H435" s="1071"/>
      <c r="I435" s="1071"/>
      <c r="J435" s="1071"/>
      <c r="K435" s="1071"/>
      <c r="L435" s="1071"/>
      <c r="M435" s="1071"/>
      <c r="N435" s="1071"/>
      <c r="O435" s="1071"/>
      <c r="P435" s="1071"/>
      <c r="Q435" s="1071"/>
      <c r="R435" s="1071"/>
      <c r="S435" s="1071"/>
      <c r="T435" s="1071"/>
      <c r="U435" s="1071"/>
    </row>
    <row r="436" spans="1:21" ht="13.5" customHeight="1" x14ac:dyDescent="0.15">
      <c r="B436" s="79"/>
      <c r="C436" s="1071"/>
      <c r="D436" s="1071"/>
      <c r="E436" s="1071"/>
      <c r="F436" s="1071"/>
      <c r="G436" s="1071"/>
      <c r="H436" s="1071"/>
      <c r="I436" s="1071"/>
      <c r="J436" s="1071"/>
      <c r="K436" s="1071"/>
      <c r="L436" s="1071"/>
      <c r="M436" s="1071"/>
      <c r="N436" s="1071"/>
      <c r="O436" s="1071"/>
      <c r="P436" s="1071"/>
      <c r="Q436" s="1071"/>
      <c r="R436" s="1071"/>
      <c r="S436" s="1071"/>
      <c r="T436" s="1071"/>
      <c r="U436" s="1071"/>
    </row>
    <row r="437" spans="1:21" ht="13.5" customHeight="1" x14ac:dyDescent="0.15">
      <c r="B437" s="79" t="s">
        <v>239</v>
      </c>
      <c r="C437" s="1071" t="s">
        <v>75</v>
      </c>
      <c r="D437" s="1071"/>
      <c r="E437" s="1071"/>
      <c r="F437" s="1071"/>
      <c r="G437" s="1071"/>
      <c r="H437" s="1071"/>
      <c r="I437" s="1071"/>
      <c r="J437" s="1071"/>
      <c r="K437" s="1071"/>
      <c r="L437" s="1071"/>
      <c r="M437" s="1071"/>
      <c r="N437" s="1071"/>
      <c r="O437" s="1071"/>
      <c r="P437" s="1071"/>
      <c r="Q437" s="1071"/>
      <c r="R437" s="1071"/>
      <c r="S437" s="1071"/>
      <c r="T437" s="1071"/>
      <c r="U437" s="1071"/>
    </row>
    <row r="438" spans="1:21" ht="30" customHeight="1" x14ac:dyDescent="0.15">
      <c r="B438" s="79"/>
      <c r="C438" s="1071"/>
      <c r="D438" s="1071"/>
      <c r="E438" s="1071"/>
      <c r="F438" s="1071"/>
      <c r="G438" s="1071"/>
      <c r="H438" s="1071"/>
      <c r="I438" s="1071"/>
      <c r="J438" s="1071"/>
      <c r="K438" s="1071"/>
      <c r="L438" s="1071"/>
      <c r="M438" s="1071"/>
      <c r="N438" s="1071"/>
      <c r="O438" s="1071"/>
      <c r="P438" s="1071"/>
      <c r="Q438" s="1071"/>
      <c r="R438" s="1071"/>
      <c r="S438" s="1071"/>
      <c r="T438" s="1071"/>
      <c r="U438" s="1071"/>
    </row>
    <row r="439" spans="1:21" ht="13.5" customHeight="1" x14ac:dyDescent="0.15">
      <c r="B439" s="55"/>
      <c r="C439" s="55"/>
      <c r="O439" s="55"/>
      <c r="P439" s="55"/>
      <c r="Q439" s="55"/>
      <c r="R439" s="55"/>
      <c r="S439" s="55"/>
      <c r="T439" s="55"/>
    </row>
    <row r="440" spans="1:21" ht="27" customHeight="1" x14ac:dyDescent="0.15">
      <c r="A440" s="840" t="s">
        <v>1774</v>
      </c>
      <c r="B440" s="840"/>
      <c r="C440" s="840"/>
      <c r="D440" s="840"/>
      <c r="E440" s="840"/>
      <c r="F440" s="840"/>
      <c r="G440" s="71"/>
      <c r="O440" s="55"/>
      <c r="P440" s="55"/>
      <c r="Q440" s="55"/>
      <c r="R440" s="55"/>
    </row>
    <row r="441" spans="1:21" x14ac:dyDescent="0.15">
      <c r="A441" s="71" t="s">
        <v>72</v>
      </c>
      <c r="B441" s="55" t="s">
        <v>226</v>
      </c>
      <c r="C441" s="55"/>
      <c r="O441" s="55"/>
      <c r="P441" s="55"/>
      <c r="Q441" s="55"/>
      <c r="R441" s="55"/>
      <c r="S441" s="55"/>
    </row>
    <row r="442" spans="1:21" x14ac:dyDescent="0.15">
      <c r="A442" s="71"/>
      <c r="B442" s="55" t="s">
        <v>1746</v>
      </c>
      <c r="C442" s="55"/>
      <c r="O442" s="55"/>
      <c r="P442" s="55"/>
      <c r="Q442" s="55"/>
      <c r="R442" s="55"/>
      <c r="S442" s="55"/>
    </row>
    <row r="443" spans="1:21" ht="13.5" customHeight="1" x14ac:dyDescent="0.15">
      <c r="A443" s="71" t="s">
        <v>72</v>
      </c>
      <c r="B443" s="1071" t="s">
        <v>209</v>
      </c>
      <c r="C443" s="1071"/>
      <c r="D443" s="1071"/>
      <c r="E443" s="1071"/>
      <c r="F443" s="1071"/>
      <c r="G443" s="1071"/>
      <c r="H443" s="1071"/>
      <c r="I443" s="1071"/>
      <c r="J443" s="1071"/>
      <c r="K443" s="1071"/>
      <c r="L443" s="1071"/>
      <c r="M443" s="1071"/>
      <c r="N443" s="1071"/>
      <c r="O443" s="1071"/>
      <c r="P443" s="1071"/>
      <c r="Q443" s="1071"/>
      <c r="R443" s="1071"/>
      <c r="S443" s="1071"/>
      <c r="T443" s="1071"/>
      <c r="U443" s="1071"/>
    </row>
    <row r="444" spans="1:21" ht="13.5" customHeight="1" x14ac:dyDescent="0.15">
      <c r="A444" s="71"/>
      <c r="B444" s="1071"/>
      <c r="C444" s="1071"/>
      <c r="D444" s="1071"/>
      <c r="E444" s="1071"/>
      <c r="F444" s="1071"/>
      <c r="G444" s="1071"/>
      <c r="H444" s="1071"/>
      <c r="I444" s="1071"/>
      <c r="J444" s="1071"/>
      <c r="K444" s="1071"/>
      <c r="L444" s="1071"/>
      <c r="M444" s="1071"/>
      <c r="N444" s="1071"/>
      <c r="O444" s="1071"/>
      <c r="P444" s="1071"/>
      <c r="Q444" s="1071"/>
      <c r="R444" s="1071"/>
      <c r="S444" s="1071"/>
      <c r="T444" s="1071"/>
      <c r="U444" s="1071"/>
    </row>
    <row r="445" spans="1:21" x14ac:dyDescent="0.15">
      <c r="A445" s="55"/>
      <c r="B445" s="1071"/>
      <c r="C445" s="1071"/>
      <c r="D445" s="1071"/>
      <c r="E445" s="1071"/>
      <c r="F445" s="1071"/>
      <c r="G445" s="1071"/>
      <c r="H445" s="1071"/>
      <c r="I445" s="1071"/>
      <c r="J445" s="1071"/>
      <c r="K445" s="1071"/>
      <c r="L445" s="1071"/>
      <c r="M445" s="1071"/>
      <c r="N445" s="1071"/>
      <c r="O445" s="1071"/>
      <c r="P445" s="1071"/>
      <c r="Q445" s="1071"/>
      <c r="R445" s="1071"/>
      <c r="S445" s="1071"/>
      <c r="T445" s="1071"/>
      <c r="U445" s="1071"/>
    </row>
    <row r="446" spans="1:21" ht="27" customHeight="1" x14ac:dyDescent="0.15">
      <c r="A446" s="55"/>
      <c r="B446" s="728" t="s">
        <v>12</v>
      </c>
      <c r="C446" s="729"/>
      <c r="D446" s="729"/>
      <c r="E446" s="729"/>
      <c r="F446" s="729"/>
      <c r="G446" s="729"/>
      <c r="H446" s="729"/>
      <c r="I446" s="729"/>
      <c r="J446" s="729"/>
      <c r="K446" s="785"/>
      <c r="L446" s="731" t="s">
        <v>11</v>
      </c>
      <c r="M446" s="731"/>
      <c r="N446" s="731"/>
      <c r="O446" s="731"/>
      <c r="P446" s="731"/>
      <c r="Q446" s="55"/>
      <c r="R446" s="55"/>
      <c r="S446" s="55"/>
      <c r="T446" s="55"/>
    </row>
    <row r="447" spans="1:21" ht="27" customHeight="1" x14ac:dyDescent="0.15">
      <c r="A447" s="55"/>
      <c r="B447" s="1009" t="s">
        <v>89</v>
      </c>
      <c r="C447" s="1070" t="s">
        <v>88</v>
      </c>
      <c r="D447" s="1070"/>
      <c r="E447" s="1070"/>
      <c r="F447" s="1070"/>
      <c r="G447" s="1070"/>
      <c r="H447" s="1070"/>
      <c r="I447" s="1070"/>
      <c r="J447" s="1070"/>
      <c r="K447" s="1070"/>
      <c r="L447" s="1102"/>
      <c r="M447" s="1102"/>
      <c r="N447" s="1102"/>
      <c r="O447" s="1102"/>
      <c r="P447" s="442" t="s">
        <v>4</v>
      </c>
      <c r="Q447" s="55"/>
      <c r="R447" s="55"/>
      <c r="S447" s="55"/>
      <c r="T447" s="55"/>
    </row>
    <row r="448" spans="1:21" ht="27" customHeight="1" x14ac:dyDescent="0.15">
      <c r="A448" s="55"/>
      <c r="B448" s="1009"/>
      <c r="C448" s="1092" t="s">
        <v>1362</v>
      </c>
      <c r="D448" s="1093"/>
      <c r="E448" s="1093"/>
      <c r="F448" s="1093"/>
      <c r="G448" s="1093"/>
      <c r="H448" s="1093"/>
      <c r="I448" s="1093"/>
      <c r="J448" s="1093"/>
      <c r="K448" s="1094"/>
      <c r="L448" s="1352"/>
      <c r="M448" s="1353"/>
      <c r="N448" s="1353"/>
      <c r="O448" s="1354"/>
      <c r="P448" s="442" t="s">
        <v>1361</v>
      </c>
      <c r="Q448" s="55"/>
      <c r="R448" s="55"/>
      <c r="S448" s="55"/>
      <c r="T448" s="55"/>
    </row>
    <row r="449" spans="1:46" ht="27" customHeight="1" x14ac:dyDescent="0.15">
      <c r="A449" s="55"/>
      <c r="B449" s="1009"/>
      <c r="C449" s="774" t="s">
        <v>102</v>
      </c>
      <c r="D449" s="774"/>
      <c r="E449" s="774"/>
      <c r="F449" s="774"/>
      <c r="G449" s="774"/>
      <c r="H449" s="774"/>
      <c r="I449" s="774"/>
      <c r="J449" s="774"/>
      <c r="K449" s="774"/>
      <c r="L449" s="1102"/>
      <c r="M449" s="1102"/>
      <c r="N449" s="1102"/>
      <c r="O449" s="1102"/>
      <c r="P449" s="442" t="s">
        <v>4</v>
      </c>
      <c r="Q449" s="55"/>
      <c r="R449" s="55"/>
      <c r="S449" s="55"/>
      <c r="T449" s="55"/>
    </row>
    <row r="450" spans="1:46" ht="27" customHeight="1" x14ac:dyDescent="0.15">
      <c r="A450" s="55"/>
      <c r="B450" s="862" t="s">
        <v>13</v>
      </c>
      <c r="C450" s="863"/>
      <c r="D450" s="863"/>
      <c r="E450" s="863"/>
      <c r="F450" s="863"/>
      <c r="G450" s="863"/>
      <c r="H450" s="863"/>
      <c r="I450" s="863"/>
      <c r="J450" s="863"/>
      <c r="K450" s="864"/>
      <c r="L450" s="1102"/>
      <c r="M450" s="1102"/>
      <c r="N450" s="1102"/>
      <c r="O450" s="1102"/>
      <c r="P450" s="442" t="s">
        <v>4</v>
      </c>
      <c r="Q450" s="55"/>
      <c r="R450" s="55"/>
      <c r="S450" s="55"/>
      <c r="T450" s="55"/>
    </row>
    <row r="451" spans="1:46" ht="27" customHeight="1" x14ac:dyDescent="0.15">
      <c r="A451" s="36"/>
      <c r="B451" s="397"/>
      <c r="C451" s="397"/>
      <c r="D451" s="397"/>
      <c r="E451" s="397"/>
      <c r="F451" s="397"/>
      <c r="G451" s="319"/>
      <c r="H451" s="319"/>
      <c r="I451" s="319"/>
      <c r="J451" s="319"/>
      <c r="K451" s="319"/>
      <c r="L451" s="354"/>
      <c r="M451" s="354"/>
      <c r="N451" s="354"/>
      <c r="O451" s="354"/>
      <c r="P451" s="198"/>
      <c r="Q451" s="55"/>
      <c r="R451" s="55"/>
      <c r="S451" s="55"/>
      <c r="T451" s="55"/>
    </row>
    <row r="452" spans="1:46" ht="27" hidden="1" customHeight="1" x14ac:dyDescent="0.15">
      <c r="A452" s="840" t="s">
        <v>1757</v>
      </c>
      <c r="B452" s="840"/>
      <c r="C452" s="840"/>
      <c r="D452" s="840"/>
      <c r="E452" s="840"/>
      <c r="F452" s="840"/>
      <c r="G452" s="398"/>
      <c r="H452" s="398"/>
      <c r="I452" s="398"/>
      <c r="O452" s="55"/>
      <c r="P452" s="55"/>
      <c r="Q452" s="55"/>
      <c r="R452" s="55"/>
    </row>
    <row r="453" spans="1:46" s="321" customFormat="1" ht="30" hidden="1" customHeight="1" x14ac:dyDescent="0.15">
      <c r="A453" s="428" t="s">
        <v>1745</v>
      </c>
      <c r="B453" s="1071" t="s">
        <v>1755</v>
      </c>
      <c r="C453" s="1071"/>
      <c r="D453" s="1071"/>
      <c r="E453" s="1071"/>
      <c r="F453" s="1071"/>
      <c r="G453" s="1071"/>
      <c r="H453" s="1071"/>
      <c r="I453" s="1071"/>
      <c r="J453" s="1071"/>
      <c r="K453" s="1071"/>
      <c r="L453" s="1071"/>
      <c r="M453" s="1071"/>
      <c r="N453" s="1071"/>
      <c r="O453" s="1071"/>
      <c r="P453" s="1071"/>
      <c r="Q453" s="1071"/>
      <c r="R453" s="1071"/>
      <c r="S453" s="1071"/>
      <c r="T453" s="1071"/>
      <c r="U453" s="1071"/>
      <c r="V453" s="1071"/>
      <c r="W453" s="393"/>
      <c r="X453" s="393"/>
      <c r="Y453" s="393"/>
      <c r="Z453" s="393"/>
      <c r="AA453" s="393"/>
      <c r="AB453" s="393"/>
      <c r="AC453" s="393"/>
      <c r="AD453" s="393"/>
      <c r="AE453" s="393"/>
      <c r="AF453" s="393"/>
      <c r="AG453" s="393"/>
      <c r="AH453" s="393"/>
      <c r="AI453" s="393"/>
      <c r="AJ453" s="393"/>
      <c r="AK453" s="393"/>
      <c r="AL453" s="393"/>
      <c r="AM453" s="393"/>
      <c r="AN453" s="393"/>
      <c r="AO453" s="393"/>
      <c r="AP453" s="393"/>
      <c r="AQ453" s="393"/>
      <c r="AR453" s="393"/>
      <c r="AS453" s="393"/>
      <c r="AT453" s="393"/>
    </row>
    <row r="454" spans="1:46" s="321" customFormat="1" ht="13.5" hidden="1" customHeight="1" x14ac:dyDescent="0.15">
      <c r="A454" s="428" t="s">
        <v>72</v>
      </c>
      <c r="B454" s="55" t="s">
        <v>1756</v>
      </c>
      <c r="C454" s="55"/>
      <c r="D454" s="55"/>
      <c r="E454" s="55"/>
      <c r="F454" s="55"/>
      <c r="G454" s="55"/>
      <c r="H454" s="55"/>
      <c r="I454" s="55"/>
      <c r="J454" s="55"/>
      <c r="K454" s="55"/>
      <c r="L454" s="55"/>
      <c r="M454" s="55"/>
      <c r="N454" s="55"/>
      <c r="O454" s="55"/>
      <c r="P454" s="55"/>
      <c r="Q454" s="55"/>
      <c r="R454" s="55"/>
      <c r="S454" s="55"/>
      <c r="T454" s="54"/>
      <c r="U454" s="54"/>
      <c r="V454" s="54"/>
      <c r="W454" s="393"/>
      <c r="X454" s="393"/>
      <c r="Y454" s="393"/>
      <c r="Z454" s="393"/>
      <c r="AA454" s="393"/>
      <c r="AB454" s="393"/>
      <c r="AC454" s="393"/>
      <c r="AD454" s="393"/>
      <c r="AE454" s="393"/>
      <c r="AF454" s="393"/>
      <c r="AG454" s="393"/>
      <c r="AH454" s="393"/>
      <c r="AI454" s="393"/>
      <c r="AJ454" s="393"/>
      <c r="AK454" s="393"/>
      <c r="AL454" s="393"/>
      <c r="AM454" s="393"/>
      <c r="AN454" s="393"/>
      <c r="AO454" s="393"/>
      <c r="AP454" s="393"/>
      <c r="AQ454" s="393"/>
      <c r="AR454" s="393"/>
      <c r="AS454" s="393"/>
      <c r="AT454" s="393"/>
    </row>
    <row r="455" spans="1:46" s="321" customFormat="1" ht="13.5" hidden="1" customHeight="1" x14ac:dyDescent="0.15">
      <c r="A455" s="428"/>
      <c r="B455" s="428"/>
      <c r="C455" s="428"/>
      <c r="D455" s="428"/>
      <c r="E455" s="428"/>
      <c r="F455" s="428"/>
      <c r="G455" s="428"/>
      <c r="H455" s="428"/>
      <c r="I455" s="428"/>
      <c r="J455" s="428"/>
      <c r="K455" s="428"/>
      <c r="L455" s="428"/>
      <c r="M455" s="428"/>
      <c r="N455" s="428"/>
      <c r="O455" s="428"/>
      <c r="P455" s="428"/>
      <c r="Q455" s="428"/>
      <c r="R455" s="428"/>
      <c r="S455" s="428"/>
      <c r="T455" s="428"/>
      <c r="U455" s="428"/>
      <c r="V455" s="428"/>
      <c r="W455" s="393"/>
      <c r="X455" s="393"/>
      <c r="Y455" s="393"/>
      <c r="Z455" s="393"/>
      <c r="AA455" s="393"/>
      <c r="AB455" s="393"/>
      <c r="AC455" s="393"/>
      <c r="AD455" s="393"/>
      <c r="AE455" s="393"/>
      <c r="AF455" s="393"/>
      <c r="AG455" s="393"/>
      <c r="AH455" s="393"/>
      <c r="AI455" s="393"/>
      <c r="AJ455" s="393"/>
      <c r="AK455" s="393"/>
      <c r="AL455" s="393"/>
      <c r="AM455" s="393"/>
      <c r="AN455" s="393"/>
      <c r="AO455" s="393"/>
      <c r="AP455" s="393"/>
      <c r="AQ455" s="393"/>
      <c r="AR455" s="393"/>
      <c r="AS455" s="393"/>
      <c r="AT455" s="393"/>
    </row>
    <row r="456" spans="1:46" ht="27" hidden="1" customHeight="1" x14ac:dyDescent="0.15">
      <c r="A456" s="71"/>
      <c r="B456" s="728" t="s">
        <v>1754</v>
      </c>
      <c r="C456" s="729"/>
      <c r="D456" s="729"/>
      <c r="E456" s="729"/>
      <c r="F456" s="729"/>
      <c r="G456" s="785"/>
      <c r="H456" s="731" t="s">
        <v>11</v>
      </c>
      <c r="I456" s="731"/>
      <c r="J456" s="731"/>
      <c r="K456" s="731"/>
      <c r="L456" s="731"/>
      <c r="M456" s="28"/>
      <c r="N456" s="785" t="s">
        <v>1752</v>
      </c>
      <c r="O456" s="731"/>
      <c r="P456" s="731"/>
      <c r="Q456" s="731"/>
      <c r="R456" s="728"/>
      <c r="S456" s="28"/>
      <c r="V456" s="377"/>
      <c r="AT456" s="54"/>
    </row>
    <row r="457" spans="1:46" ht="27" hidden="1" customHeight="1" x14ac:dyDescent="0.15">
      <c r="A457" s="55"/>
      <c r="B457" s="860"/>
      <c r="C457" s="1011"/>
      <c r="D457" s="1011"/>
      <c r="E457" s="1011"/>
      <c r="F457" s="1011"/>
      <c r="G457" s="861"/>
      <c r="H457" s="1151"/>
      <c r="I457" s="1151"/>
      <c r="J457" s="1151"/>
      <c r="K457" s="1151"/>
      <c r="L457" s="442" t="s">
        <v>4</v>
      </c>
      <c r="M457" s="502"/>
      <c r="N457" s="1151"/>
      <c r="O457" s="1151"/>
      <c r="P457" s="1151"/>
      <c r="Q457" s="1151"/>
      <c r="R457" s="442" t="s">
        <v>1753</v>
      </c>
      <c r="S457" s="320"/>
      <c r="T457" s="320"/>
      <c r="V457" s="377"/>
      <c r="AT457" s="54"/>
    </row>
    <row r="458" spans="1:46" ht="13.5" customHeight="1" x14ac:dyDescent="0.15">
      <c r="A458" s="71"/>
      <c r="B458" s="55"/>
      <c r="C458" s="55"/>
      <c r="O458" s="55"/>
      <c r="P458" s="55"/>
      <c r="Q458" s="55"/>
      <c r="R458" s="55"/>
      <c r="S458" s="55"/>
      <c r="T458" s="55"/>
      <c r="U458" s="55"/>
    </row>
    <row r="459" spans="1:46" ht="27" customHeight="1" x14ac:dyDescent="0.15">
      <c r="A459" s="1220" t="s">
        <v>1795</v>
      </c>
      <c r="B459" s="1220"/>
      <c r="C459" s="1220"/>
      <c r="D459" s="1220"/>
      <c r="E459" s="1220"/>
      <c r="F459" s="1220"/>
      <c r="G459" s="1220"/>
      <c r="H459" s="1220"/>
      <c r="I459" s="1220"/>
      <c r="J459" s="1220"/>
      <c r="K459" s="1220"/>
      <c r="L459" s="1220"/>
      <c r="M459" s="1220"/>
      <c r="N459" s="1220"/>
      <c r="O459" s="1220"/>
      <c r="P459" s="1220"/>
      <c r="Q459" s="55"/>
      <c r="R459" s="55"/>
      <c r="S459" s="55"/>
      <c r="T459" s="55"/>
    </row>
    <row r="460" spans="1:46" ht="13.5" customHeight="1" x14ac:dyDescent="0.15">
      <c r="A460" s="55" t="s">
        <v>189</v>
      </c>
      <c r="B460" s="55" t="s">
        <v>1796</v>
      </c>
      <c r="C460" s="55"/>
      <c r="O460" s="55"/>
      <c r="P460" s="55"/>
      <c r="Q460" s="55"/>
      <c r="R460" s="55"/>
      <c r="S460" s="55"/>
    </row>
    <row r="461" spans="1:46" ht="30" customHeight="1" x14ac:dyDescent="0.15">
      <c r="A461" s="55"/>
      <c r="B461" s="763" t="s">
        <v>1804</v>
      </c>
      <c r="C461" s="763"/>
      <c r="D461" s="763"/>
      <c r="E461" s="763"/>
      <c r="F461" s="763"/>
      <c r="G461" s="763"/>
      <c r="H461" s="763"/>
      <c r="I461" s="763"/>
      <c r="J461" s="763"/>
      <c r="K461" s="763"/>
      <c r="L461" s="763"/>
      <c r="M461" s="763"/>
      <c r="N461" s="763"/>
      <c r="O461" s="763"/>
      <c r="P461" s="763"/>
      <c r="Q461" s="763"/>
      <c r="R461" s="763"/>
      <c r="S461" s="763"/>
      <c r="T461" s="763"/>
      <c r="U461" s="763"/>
      <c r="V461" s="763"/>
    </row>
    <row r="462" spans="1:46" ht="13.5" customHeight="1" x14ac:dyDescent="0.15">
      <c r="A462" s="55" t="s">
        <v>190</v>
      </c>
      <c r="B462" s="55" t="s">
        <v>1292</v>
      </c>
      <c r="C462" s="55"/>
      <c r="O462" s="55"/>
      <c r="P462" s="55"/>
      <c r="Q462" s="55"/>
      <c r="R462" s="55"/>
      <c r="S462" s="55"/>
    </row>
    <row r="463" spans="1:46" ht="13.5" customHeight="1" x14ac:dyDescent="0.15">
      <c r="A463" s="55"/>
      <c r="B463" s="55"/>
      <c r="C463" s="55"/>
      <c r="O463" s="55"/>
      <c r="P463" s="55"/>
      <c r="Q463" s="55"/>
      <c r="R463" s="55"/>
      <c r="S463" s="55"/>
    </row>
    <row r="464" spans="1:46" ht="27" customHeight="1" x14ac:dyDescent="0.15">
      <c r="A464" s="55"/>
      <c r="B464" s="1304" t="s">
        <v>191</v>
      </c>
      <c r="C464" s="1304"/>
      <c r="D464" s="1304"/>
      <c r="E464" s="1304"/>
      <c r="O464" s="55"/>
      <c r="P464" s="55"/>
      <c r="Q464" s="55"/>
      <c r="R464" s="55"/>
      <c r="S464" s="55"/>
    </row>
    <row r="465" spans="1:22" ht="13.5" customHeight="1" x14ac:dyDescent="0.15">
      <c r="B465" s="75" t="s">
        <v>192</v>
      </c>
      <c r="C465" s="55" t="s">
        <v>1290</v>
      </c>
      <c r="O465" s="55"/>
      <c r="P465" s="55"/>
      <c r="Q465" s="55"/>
      <c r="R465" s="55"/>
      <c r="S465" s="55"/>
      <c r="T465" s="55"/>
    </row>
    <row r="466" spans="1:22" ht="34.5" customHeight="1" x14ac:dyDescent="0.15">
      <c r="B466" s="197" t="s">
        <v>193</v>
      </c>
      <c r="C466" s="749" t="s">
        <v>1291</v>
      </c>
      <c r="D466" s="749"/>
      <c r="E466" s="749"/>
      <c r="F466" s="749"/>
      <c r="G466" s="749"/>
      <c r="H466" s="749"/>
      <c r="I466" s="749"/>
      <c r="J466" s="749"/>
      <c r="K466" s="749"/>
      <c r="L466" s="749"/>
      <c r="M466" s="749"/>
      <c r="N466" s="749"/>
      <c r="O466" s="749"/>
      <c r="P466" s="749"/>
      <c r="Q466" s="749"/>
      <c r="R466" s="749"/>
      <c r="S466" s="749"/>
      <c r="T466" s="749"/>
      <c r="U466" s="749"/>
      <c r="V466" s="473"/>
    </row>
    <row r="467" spans="1:22" ht="27" customHeight="1" x14ac:dyDescent="0.15">
      <c r="A467" s="55"/>
      <c r="B467" s="55"/>
      <c r="C467" s="1023" t="s">
        <v>126</v>
      </c>
      <c r="D467" s="1023"/>
      <c r="E467" s="1023"/>
      <c r="F467" s="1023"/>
      <c r="G467" s="1023" t="s">
        <v>1278</v>
      </c>
      <c r="H467" s="1023"/>
      <c r="I467" s="1023" t="s">
        <v>1284</v>
      </c>
      <c r="J467" s="1023"/>
      <c r="K467" s="1023" t="s">
        <v>1285</v>
      </c>
      <c r="L467" s="1023"/>
      <c r="M467" s="1115" t="s">
        <v>1286</v>
      </c>
      <c r="N467" s="731"/>
      <c r="O467" s="1023" t="s">
        <v>1287</v>
      </c>
      <c r="P467" s="1023"/>
      <c r="Q467" s="1115" t="s">
        <v>1288</v>
      </c>
      <c r="R467" s="731"/>
      <c r="S467" s="1078" t="s">
        <v>1289</v>
      </c>
      <c r="T467" s="1078"/>
      <c r="U467" s="55"/>
    </row>
    <row r="468" spans="1:22" ht="27" customHeight="1" thickBot="1" x14ac:dyDescent="0.2">
      <c r="A468" s="55"/>
      <c r="B468" s="55"/>
      <c r="C468" s="1041" t="s">
        <v>127</v>
      </c>
      <c r="D468" s="1041"/>
      <c r="E468" s="1041"/>
      <c r="F468" s="1041"/>
      <c r="G468" s="1116" t="s">
        <v>128</v>
      </c>
      <c r="H468" s="1116"/>
      <c r="I468" s="1130" t="s">
        <v>129</v>
      </c>
      <c r="J468" s="1130"/>
      <c r="K468" s="1116" t="s">
        <v>130</v>
      </c>
      <c r="L468" s="1116"/>
      <c r="M468" s="1072" t="s">
        <v>131</v>
      </c>
      <c r="N468" s="1072"/>
      <c r="O468" s="1156" t="s">
        <v>132</v>
      </c>
      <c r="P468" s="1156"/>
      <c r="Q468" s="847" t="s">
        <v>133</v>
      </c>
      <c r="R468" s="847"/>
      <c r="S468" s="847" t="s">
        <v>1279</v>
      </c>
      <c r="T468" s="847"/>
    </row>
    <row r="469" spans="1:22" ht="27" customHeight="1" thickBot="1" x14ac:dyDescent="0.2">
      <c r="A469" s="55"/>
      <c r="B469" s="55"/>
      <c r="C469" s="1041" t="s">
        <v>134</v>
      </c>
      <c r="D469" s="1041"/>
      <c r="E469" s="1041"/>
      <c r="F469" s="1041"/>
      <c r="G469" s="1084" t="s">
        <v>135</v>
      </c>
      <c r="H469" s="1084"/>
      <c r="I469" s="1072" t="s">
        <v>136</v>
      </c>
      <c r="J469" s="1072"/>
      <c r="K469" s="1084" t="s">
        <v>137</v>
      </c>
      <c r="L469" s="1112"/>
      <c r="M469" s="1145" t="s">
        <v>138</v>
      </c>
      <c r="N469" s="1146"/>
      <c r="O469" s="1073" t="s">
        <v>139</v>
      </c>
      <c r="P469" s="1074"/>
      <c r="Q469" s="1082" t="s">
        <v>140</v>
      </c>
      <c r="R469" s="1083"/>
      <c r="S469" s="848" t="s">
        <v>1280</v>
      </c>
      <c r="T469" s="849"/>
    </row>
    <row r="470" spans="1:22" ht="27" customHeight="1" thickBot="1" x14ac:dyDescent="0.2">
      <c r="A470" s="55"/>
      <c r="B470" s="55"/>
      <c r="C470" s="1041" t="s">
        <v>141</v>
      </c>
      <c r="D470" s="1041"/>
      <c r="E470" s="1041"/>
      <c r="F470" s="1103"/>
      <c r="G470" s="1044" t="s">
        <v>142</v>
      </c>
      <c r="H470" s="1045"/>
      <c r="I470" s="1145" t="s">
        <v>143</v>
      </c>
      <c r="J470" s="1146"/>
      <c r="K470" s="1044" t="s">
        <v>144</v>
      </c>
      <c r="L470" s="1045"/>
      <c r="M470" s="1012" t="s">
        <v>145</v>
      </c>
      <c r="N470" s="1013"/>
      <c r="O470" s="1014" t="s">
        <v>146</v>
      </c>
      <c r="P470" s="1015"/>
      <c r="Q470" s="1082" t="s">
        <v>147</v>
      </c>
      <c r="R470" s="1083"/>
      <c r="S470" s="1097" t="s">
        <v>1281</v>
      </c>
      <c r="T470" s="1098"/>
    </row>
    <row r="471" spans="1:22" ht="27" customHeight="1" thickBot="1" x14ac:dyDescent="0.2">
      <c r="A471" s="55"/>
      <c r="B471" s="55"/>
      <c r="C471" s="1103" t="s">
        <v>148</v>
      </c>
      <c r="D471" s="1125"/>
      <c r="E471" s="1125"/>
      <c r="F471" s="1126"/>
      <c r="G471" s="1095" t="s">
        <v>149</v>
      </c>
      <c r="H471" s="1096"/>
      <c r="I471" s="1113" t="s">
        <v>150</v>
      </c>
      <c r="J471" s="1114"/>
      <c r="K471" s="1095" t="s">
        <v>151</v>
      </c>
      <c r="L471" s="1096"/>
      <c r="M471" s="856" t="s">
        <v>152</v>
      </c>
      <c r="N471" s="857"/>
      <c r="O471" s="1042" t="s">
        <v>153</v>
      </c>
      <c r="P471" s="1043"/>
      <c r="Q471" s="1090" t="s">
        <v>154</v>
      </c>
      <c r="R471" s="1091"/>
      <c r="S471" s="1090" t="s">
        <v>1282</v>
      </c>
      <c r="T471" s="1091"/>
    </row>
    <row r="472" spans="1:22" ht="27" customHeight="1" x14ac:dyDescent="0.15">
      <c r="A472" s="55"/>
      <c r="B472" s="55"/>
      <c r="C472" s="1103" t="s">
        <v>155</v>
      </c>
      <c r="D472" s="1125"/>
      <c r="E472" s="1125"/>
      <c r="F472" s="1126"/>
      <c r="G472" s="858" t="s">
        <v>156</v>
      </c>
      <c r="H472" s="859"/>
      <c r="I472" s="856" t="s">
        <v>157</v>
      </c>
      <c r="J472" s="857"/>
      <c r="K472" s="858" t="s">
        <v>158</v>
      </c>
      <c r="L472" s="859"/>
      <c r="M472" s="860" t="s">
        <v>153</v>
      </c>
      <c r="N472" s="861"/>
      <c r="O472" s="1042" t="s">
        <v>153</v>
      </c>
      <c r="P472" s="1131"/>
      <c r="Q472" s="1110" t="s">
        <v>159</v>
      </c>
      <c r="R472" s="1111"/>
      <c r="S472" s="1110" t="s">
        <v>1283</v>
      </c>
      <c r="T472" s="1111"/>
      <c r="U472" s="55" t="s">
        <v>511</v>
      </c>
    </row>
    <row r="473" spans="1:22" ht="13.5" customHeight="1" x14ac:dyDescent="0.15">
      <c r="A473" s="55"/>
      <c r="B473" s="36"/>
      <c r="C473" s="453"/>
      <c r="D473" s="453"/>
      <c r="E473" s="453"/>
      <c r="F473" s="453"/>
      <c r="G473" s="447"/>
      <c r="H473" s="447"/>
      <c r="I473" s="447"/>
      <c r="J473" s="447"/>
      <c r="K473" s="447"/>
      <c r="L473" s="447"/>
      <c r="M473" s="453"/>
      <c r="N473" s="453"/>
      <c r="O473" s="453"/>
      <c r="P473" s="453"/>
      <c r="Q473" s="95"/>
      <c r="R473" s="95"/>
      <c r="S473" s="55"/>
    </row>
    <row r="474" spans="1:22" ht="27" customHeight="1" x14ac:dyDescent="0.15">
      <c r="A474" s="55"/>
      <c r="B474" s="1304" t="s">
        <v>512</v>
      </c>
      <c r="C474" s="1304"/>
      <c r="D474" s="1304"/>
      <c r="E474" s="1304"/>
      <c r="O474" s="55"/>
      <c r="P474" s="55"/>
      <c r="Q474" s="55"/>
      <c r="R474" s="55"/>
      <c r="S474" s="55"/>
    </row>
    <row r="475" spans="1:22" ht="13.5" customHeight="1" x14ac:dyDescent="0.15">
      <c r="A475" s="55"/>
      <c r="B475" s="36"/>
      <c r="C475" s="453"/>
      <c r="D475" s="453"/>
      <c r="E475" s="453"/>
      <c r="F475" s="453"/>
      <c r="G475" s="447"/>
      <c r="H475" s="447"/>
      <c r="I475" s="447"/>
      <c r="J475" s="447"/>
      <c r="K475" s="447"/>
      <c r="L475" s="447"/>
      <c r="M475" s="453"/>
      <c r="N475" s="453"/>
      <c r="O475" s="453"/>
      <c r="P475" s="453"/>
      <c r="Q475" s="95"/>
      <c r="R475" s="95"/>
      <c r="S475" s="55"/>
    </row>
    <row r="476" spans="1:22" ht="13.5" customHeight="1" x14ac:dyDescent="0.15">
      <c r="B476" s="731" t="s">
        <v>121</v>
      </c>
      <c r="C476" s="731"/>
      <c r="D476" s="731"/>
      <c r="E476" s="728" t="s">
        <v>120</v>
      </c>
      <c r="F476" s="729"/>
      <c r="G476" s="729"/>
      <c r="H476" s="729"/>
      <c r="I476" s="729"/>
      <c r="J476" s="729"/>
      <c r="K476" s="729"/>
      <c r="L476" s="729"/>
      <c r="M476" s="729"/>
      <c r="N476" s="729"/>
      <c r="O476" s="729"/>
      <c r="P476" s="729"/>
      <c r="Q476" s="729"/>
      <c r="R476" s="729"/>
      <c r="S476" s="729"/>
      <c r="T476" s="729"/>
      <c r="U476" s="785"/>
    </row>
    <row r="477" spans="1:22" ht="27" customHeight="1" x14ac:dyDescent="0.15">
      <c r="B477" s="1132" t="s">
        <v>123</v>
      </c>
      <c r="C477" s="1132"/>
      <c r="D477" s="1132"/>
      <c r="E477" s="1049" t="s">
        <v>1785</v>
      </c>
      <c r="F477" s="1050"/>
      <c r="G477" s="1050"/>
      <c r="H477" s="1050"/>
      <c r="I477" s="1050"/>
      <c r="J477" s="1050"/>
      <c r="K477" s="1050"/>
      <c r="L477" s="1050"/>
      <c r="M477" s="1050"/>
      <c r="N477" s="1050"/>
      <c r="O477" s="1050"/>
      <c r="P477" s="1050"/>
      <c r="Q477" s="1050"/>
      <c r="R477" s="1050"/>
      <c r="S477" s="1050"/>
      <c r="T477" s="1050"/>
      <c r="U477" s="1051"/>
    </row>
    <row r="478" spans="1:22" ht="75" customHeight="1" x14ac:dyDescent="0.15">
      <c r="B478" s="1127" t="s">
        <v>124</v>
      </c>
      <c r="C478" s="1128"/>
      <c r="D478" s="1129"/>
      <c r="E478" s="1049" t="s">
        <v>1786</v>
      </c>
      <c r="F478" s="1050"/>
      <c r="G478" s="1050"/>
      <c r="H478" s="1050"/>
      <c r="I478" s="1050"/>
      <c r="J478" s="1050"/>
      <c r="K478" s="1050"/>
      <c r="L478" s="1050"/>
      <c r="M478" s="1050"/>
      <c r="N478" s="1050"/>
      <c r="O478" s="1050"/>
      <c r="P478" s="1050"/>
      <c r="Q478" s="1050"/>
      <c r="R478" s="1050"/>
      <c r="S478" s="1050"/>
      <c r="T478" s="1050"/>
      <c r="U478" s="1051"/>
    </row>
    <row r="479" spans="1:22" ht="39.950000000000003" customHeight="1" x14ac:dyDescent="0.15">
      <c r="B479" s="1132" t="s">
        <v>125</v>
      </c>
      <c r="C479" s="1132"/>
      <c r="D479" s="1132"/>
      <c r="E479" s="1049" t="s">
        <v>1787</v>
      </c>
      <c r="F479" s="1050"/>
      <c r="G479" s="1050"/>
      <c r="H479" s="1050"/>
      <c r="I479" s="1050"/>
      <c r="J479" s="1050"/>
      <c r="K479" s="1050"/>
      <c r="L479" s="1050"/>
      <c r="M479" s="1050"/>
      <c r="N479" s="1050"/>
      <c r="O479" s="1050"/>
      <c r="P479" s="1050"/>
      <c r="Q479" s="1050"/>
      <c r="R479" s="1050"/>
      <c r="S479" s="1050"/>
      <c r="T479" s="1050"/>
      <c r="U479" s="1051"/>
    </row>
    <row r="480" spans="1:22" ht="39.950000000000003" customHeight="1" x14ac:dyDescent="0.15">
      <c r="B480" s="1009" t="s">
        <v>227</v>
      </c>
      <c r="C480" s="1132"/>
      <c r="D480" s="1132"/>
      <c r="E480" s="1299" t="s">
        <v>1797</v>
      </c>
      <c r="F480" s="1300"/>
      <c r="G480" s="1300"/>
      <c r="H480" s="1300"/>
      <c r="I480" s="1300"/>
      <c r="J480" s="1300"/>
      <c r="K480" s="1300"/>
      <c r="L480" s="1300"/>
      <c r="M480" s="1300"/>
      <c r="N480" s="1300"/>
      <c r="O480" s="1300"/>
      <c r="P480" s="1300"/>
      <c r="Q480" s="1300"/>
      <c r="R480" s="1300"/>
      <c r="S480" s="1300"/>
      <c r="T480" s="1300"/>
      <c r="U480" s="1301"/>
    </row>
    <row r="481" spans="1:22" ht="120" customHeight="1" x14ac:dyDescent="0.15">
      <c r="B481" s="1009" t="s">
        <v>228</v>
      </c>
      <c r="C481" s="1132"/>
      <c r="D481" s="1132"/>
      <c r="E481" s="1049" t="s">
        <v>1798</v>
      </c>
      <c r="F481" s="1050"/>
      <c r="G481" s="1050"/>
      <c r="H481" s="1050"/>
      <c r="I481" s="1050"/>
      <c r="J481" s="1050"/>
      <c r="K481" s="1050"/>
      <c r="L481" s="1050"/>
      <c r="M481" s="1050"/>
      <c r="N481" s="1050"/>
      <c r="O481" s="1050"/>
      <c r="P481" s="1050"/>
      <c r="Q481" s="1050"/>
      <c r="R481" s="1050"/>
      <c r="S481" s="1050"/>
      <c r="T481" s="1050"/>
      <c r="U481" s="1051"/>
    </row>
    <row r="482" spans="1:22" ht="60" customHeight="1" x14ac:dyDescent="0.15">
      <c r="B482" s="1136" t="s">
        <v>229</v>
      </c>
      <c r="C482" s="1128"/>
      <c r="D482" s="1129"/>
      <c r="E482" s="1049" t="s">
        <v>1799</v>
      </c>
      <c r="F482" s="1050"/>
      <c r="G482" s="1050"/>
      <c r="H482" s="1050"/>
      <c r="I482" s="1050"/>
      <c r="J482" s="1050"/>
      <c r="K482" s="1050"/>
      <c r="L482" s="1050"/>
      <c r="M482" s="1050"/>
      <c r="N482" s="1050"/>
      <c r="O482" s="1050"/>
      <c r="P482" s="1050"/>
      <c r="Q482" s="1050"/>
      <c r="R482" s="1050"/>
      <c r="S482" s="1050"/>
      <c r="T482" s="1050"/>
      <c r="U482" s="1051"/>
    </row>
    <row r="483" spans="1:22" ht="13.5" customHeight="1" x14ac:dyDescent="0.15">
      <c r="A483" s="55"/>
      <c r="B483" s="55"/>
      <c r="C483" s="55"/>
      <c r="O483" s="55"/>
      <c r="P483" s="55"/>
      <c r="Q483" s="55"/>
      <c r="R483" s="55"/>
      <c r="S483" s="55"/>
    </row>
    <row r="484" spans="1:22" ht="27" customHeight="1" x14ac:dyDescent="0.15">
      <c r="A484" s="55"/>
      <c r="B484" s="1133" t="s">
        <v>1293</v>
      </c>
      <c r="C484" s="1134"/>
      <c r="D484" s="1134"/>
      <c r="E484" s="1134"/>
      <c r="F484" s="1134"/>
      <c r="G484" s="1134"/>
      <c r="H484" s="1135"/>
      <c r="J484" s="126"/>
      <c r="K484" s="126"/>
      <c r="L484" s="126"/>
      <c r="M484" s="126"/>
      <c r="N484" s="126"/>
      <c r="O484" s="127"/>
      <c r="P484" s="127"/>
      <c r="Q484" s="55"/>
      <c r="R484" s="55"/>
      <c r="S484" s="55"/>
      <c r="T484" s="55"/>
    </row>
    <row r="485" spans="1:22" ht="13.5" customHeight="1" thickBot="1" x14ac:dyDescent="0.2">
      <c r="A485" s="55"/>
      <c r="B485" s="55"/>
      <c r="C485" s="55"/>
      <c r="O485" s="55"/>
      <c r="P485" s="55"/>
      <c r="Q485" s="55"/>
      <c r="R485" s="55"/>
      <c r="S485" s="55"/>
      <c r="T485" s="55"/>
    </row>
    <row r="486" spans="1:22" ht="30" customHeight="1" thickBot="1" x14ac:dyDescent="0.2">
      <c r="A486" s="850" t="s">
        <v>122</v>
      </c>
      <c r="B486" s="851"/>
      <c r="C486" s="852"/>
      <c r="D486" s="1366" t="s">
        <v>186</v>
      </c>
      <c r="E486" s="1366"/>
      <c r="F486" s="890" t="s">
        <v>160</v>
      </c>
      <c r="G486" s="851"/>
      <c r="H486" s="852"/>
      <c r="I486" s="1022">
        <v>32</v>
      </c>
      <c r="J486" s="1022"/>
      <c r="K486" s="1022" t="s">
        <v>161</v>
      </c>
      <c r="L486" s="1022"/>
      <c r="M486" s="679" t="s">
        <v>162</v>
      </c>
      <c r="N486" s="679"/>
      <c r="O486" s="679"/>
      <c r="P486" s="1022" t="s">
        <v>187</v>
      </c>
      <c r="Q486" s="1367"/>
    </row>
    <row r="487" spans="1:22" ht="30" customHeight="1" thickBot="1" x14ac:dyDescent="0.2">
      <c r="A487" s="720" t="s">
        <v>1805</v>
      </c>
      <c r="B487" s="721"/>
      <c r="C487" s="721"/>
      <c r="D487" s="721"/>
      <c r="E487" s="721"/>
      <c r="F487" s="721"/>
      <c r="G487" s="721"/>
      <c r="H487" s="722"/>
      <c r="I487" s="873" t="s">
        <v>181</v>
      </c>
      <c r="J487" s="720" t="s">
        <v>1806</v>
      </c>
      <c r="K487" s="721"/>
      <c r="L487" s="721"/>
      <c r="M487" s="721"/>
      <c r="N487" s="721"/>
      <c r="O487" s="721"/>
      <c r="P487" s="721"/>
      <c r="Q487" s="722"/>
      <c r="R487" s="873" t="s">
        <v>1269</v>
      </c>
      <c r="S487" s="1046" t="s">
        <v>1807</v>
      </c>
      <c r="T487" s="1047"/>
      <c r="U487" s="1047"/>
      <c r="V487" s="1048"/>
    </row>
    <row r="488" spans="1:22" ht="24.95" customHeight="1" thickTop="1" x14ac:dyDescent="0.15">
      <c r="A488" s="717" t="s">
        <v>164</v>
      </c>
      <c r="B488" s="718"/>
      <c r="C488" s="718"/>
      <c r="D488" s="719"/>
      <c r="E488" s="1137">
        <v>190000</v>
      </c>
      <c r="F488" s="1137"/>
      <c r="G488" s="1137"/>
      <c r="H488" s="1" t="s">
        <v>73</v>
      </c>
      <c r="I488" s="874"/>
      <c r="J488" s="717" t="s">
        <v>164</v>
      </c>
      <c r="K488" s="718"/>
      <c r="L488" s="718"/>
      <c r="M488" s="719"/>
      <c r="N488" s="1137">
        <v>193500</v>
      </c>
      <c r="O488" s="1137"/>
      <c r="P488" s="1137"/>
      <c r="Q488" s="1" t="s">
        <v>73</v>
      </c>
      <c r="R488" s="874"/>
      <c r="S488" s="723">
        <f>N488-E488</f>
        <v>3500</v>
      </c>
      <c r="T488" s="724"/>
      <c r="U488" s="724"/>
      <c r="V488" s="340" t="s">
        <v>73</v>
      </c>
    </row>
    <row r="489" spans="1:22" ht="24.95" customHeight="1" x14ac:dyDescent="0.15">
      <c r="A489" s="709" t="s">
        <v>276</v>
      </c>
      <c r="B489" s="710"/>
      <c r="C489" s="710"/>
      <c r="D489" s="711"/>
      <c r="E489" s="708">
        <f>SUM(E490+E493+E496+E498+E499)</f>
        <v>69500</v>
      </c>
      <c r="F489" s="708"/>
      <c r="G489" s="708"/>
      <c r="H489" s="2" t="s">
        <v>73</v>
      </c>
      <c r="I489" s="874"/>
      <c r="J489" s="709" t="s">
        <v>276</v>
      </c>
      <c r="K489" s="710"/>
      <c r="L489" s="710"/>
      <c r="M489" s="711"/>
      <c r="N489" s="708">
        <f>SUM(N490+N493+N496+N498+N499)</f>
        <v>84500</v>
      </c>
      <c r="O489" s="708"/>
      <c r="P489" s="708"/>
      <c r="Q489" s="2" t="s">
        <v>73</v>
      </c>
      <c r="R489" s="874"/>
      <c r="S489" s="723">
        <f t="shared" ref="S489:S496" si="16">N489-E489</f>
        <v>15000</v>
      </c>
      <c r="T489" s="724"/>
      <c r="U489" s="724"/>
      <c r="V489" s="339" t="s">
        <v>73</v>
      </c>
    </row>
    <row r="490" spans="1:22" ht="24.95" customHeight="1" x14ac:dyDescent="0.15">
      <c r="A490" s="694" t="s">
        <v>271</v>
      </c>
      <c r="B490" s="695"/>
      <c r="C490" s="695"/>
      <c r="D490" s="696"/>
      <c r="E490" s="708">
        <v>24000</v>
      </c>
      <c r="F490" s="708"/>
      <c r="G490" s="708"/>
      <c r="H490" s="2" t="s">
        <v>73</v>
      </c>
      <c r="I490" s="874"/>
      <c r="J490" s="694" t="s">
        <v>271</v>
      </c>
      <c r="K490" s="695"/>
      <c r="L490" s="695"/>
      <c r="M490" s="696"/>
      <c r="N490" s="708">
        <v>18000</v>
      </c>
      <c r="O490" s="708"/>
      <c r="P490" s="708"/>
      <c r="Q490" s="2" t="s">
        <v>73</v>
      </c>
      <c r="R490" s="874"/>
      <c r="S490" s="723">
        <f t="shared" si="16"/>
        <v>-6000</v>
      </c>
      <c r="T490" s="724"/>
      <c r="U490" s="724"/>
      <c r="V490" s="339" t="s">
        <v>73</v>
      </c>
    </row>
    <row r="491" spans="1:22" ht="24.95" customHeight="1" x14ac:dyDescent="0.15">
      <c r="A491" s="853" t="s">
        <v>177</v>
      </c>
      <c r="B491" s="854"/>
      <c r="C491" s="854"/>
      <c r="D491" s="855"/>
      <c r="E491" s="708">
        <v>4</v>
      </c>
      <c r="F491" s="708"/>
      <c r="G491" s="708"/>
      <c r="H491" s="3" t="s">
        <v>179</v>
      </c>
      <c r="I491" s="874"/>
      <c r="J491" s="853" t="s">
        <v>177</v>
      </c>
      <c r="K491" s="854"/>
      <c r="L491" s="854"/>
      <c r="M491" s="855"/>
      <c r="N491" s="708">
        <v>3</v>
      </c>
      <c r="O491" s="708"/>
      <c r="P491" s="708"/>
      <c r="Q491" s="3" t="s">
        <v>179</v>
      </c>
      <c r="R491" s="874"/>
      <c r="S491" s="723">
        <f t="shared" si="16"/>
        <v>-1</v>
      </c>
      <c r="T491" s="724"/>
      <c r="U491" s="724"/>
      <c r="V491" s="341" t="s">
        <v>179</v>
      </c>
    </row>
    <row r="492" spans="1:22" ht="24.95" customHeight="1" x14ac:dyDescent="0.15">
      <c r="A492" s="1104" t="s">
        <v>1484</v>
      </c>
      <c r="B492" s="1105"/>
      <c r="C492" s="1105"/>
      <c r="D492" s="1106"/>
      <c r="E492" s="677">
        <f>E490/E491</f>
        <v>6000</v>
      </c>
      <c r="F492" s="677"/>
      <c r="G492" s="677"/>
      <c r="H492" s="339" t="s">
        <v>73</v>
      </c>
      <c r="I492" s="874"/>
      <c r="J492" s="1104" t="s">
        <v>1484</v>
      </c>
      <c r="K492" s="1105"/>
      <c r="L492" s="1105"/>
      <c r="M492" s="1106"/>
      <c r="N492" s="677">
        <f>N490/N491</f>
        <v>6000</v>
      </c>
      <c r="O492" s="677"/>
      <c r="P492" s="677"/>
      <c r="Q492" s="339" t="s">
        <v>73</v>
      </c>
      <c r="R492" s="874"/>
      <c r="S492" s="680" t="s">
        <v>1268</v>
      </c>
      <c r="T492" s="681"/>
      <c r="U492" s="681"/>
      <c r="V492" s="682"/>
    </row>
    <row r="493" spans="1:22" ht="24.95" customHeight="1" x14ac:dyDescent="0.15">
      <c r="A493" s="694" t="s">
        <v>272</v>
      </c>
      <c r="B493" s="695"/>
      <c r="C493" s="695"/>
      <c r="D493" s="696"/>
      <c r="E493" s="708">
        <v>4500</v>
      </c>
      <c r="F493" s="708"/>
      <c r="G493" s="708"/>
      <c r="H493" s="2" t="s">
        <v>73</v>
      </c>
      <c r="I493" s="874"/>
      <c r="J493" s="694" t="s">
        <v>272</v>
      </c>
      <c r="K493" s="695"/>
      <c r="L493" s="695"/>
      <c r="M493" s="696"/>
      <c r="N493" s="708">
        <v>13500</v>
      </c>
      <c r="O493" s="708"/>
      <c r="P493" s="708"/>
      <c r="Q493" s="2" t="s">
        <v>73</v>
      </c>
      <c r="R493" s="874"/>
      <c r="S493" s="723">
        <f t="shared" si="16"/>
        <v>9000</v>
      </c>
      <c r="T493" s="724"/>
      <c r="U493" s="724"/>
      <c r="V493" s="339" t="s">
        <v>73</v>
      </c>
    </row>
    <row r="494" spans="1:22" ht="24.95" customHeight="1" x14ac:dyDescent="0.15">
      <c r="A494" s="853" t="s">
        <v>178</v>
      </c>
      <c r="B494" s="854"/>
      <c r="C494" s="854"/>
      <c r="D494" s="855"/>
      <c r="E494" s="708">
        <v>3</v>
      </c>
      <c r="F494" s="708"/>
      <c r="G494" s="708"/>
      <c r="H494" s="3" t="s">
        <v>180</v>
      </c>
      <c r="I494" s="874"/>
      <c r="J494" s="853" t="s">
        <v>178</v>
      </c>
      <c r="K494" s="854"/>
      <c r="L494" s="854"/>
      <c r="M494" s="855"/>
      <c r="N494" s="708">
        <v>9</v>
      </c>
      <c r="O494" s="708"/>
      <c r="P494" s="708"/>
      <c r="Q494" s="3" t="s">
        <v>180</v>
      </c>
      <c r="R494" s="874"/>
      <c r="S494" s="723">
        <f t="shared" si="16"/>
        <v>6</v>
      </c>
      <c r="T494" s="724"/>
      <c r="U494" s="724"/>
      <c r="V494" s="341" t="s">
        <v>180</v>
      </c>
    </row>
    <row r="495" spans="1:22" ht="24.95" customHeight="1" x14ac:dyDescent="0.15">
      <c r="A495" s="1104" t="s">
        <v>1483</v>
      </c>
      <c r="B495" s="1105"/>
      <c r="C495" s="1105"/>
      <c r="D495" s="1106"/>
      <c r="E495" s="677">
        <f>E493/E494</f>
        <v>1500</v>
      </c>
      <c r="F495" s="677"/>
      <c r="G495" s="677"/>
      <c r="H495" s="339" t="s">
        <v>73</v>
      </c>
      <c r="I495" s="874"/>
      <c r="J495" s="1104" t="s">
        <v>1483</v>
      </c>
      <c r="K495" s="1105"/>
      <c r="L495" s="1105"/>
      <c r="M495" s="1106"/>
      <c r="N495" s="677">
        <f>N493/N494</f>
        <v>1500</v>
      </c>
      <c r="O495" s="677"/>
      <c r="P495" s="677"/>
      <c r="Q495" s="339" t="s">
        <v>73</v>
      </c>
      <c r="R495" s="874"/>
      <c r="S495" s="680" t="s">
        <v>1268</v>
      </c>
      <c r="T495" s="681"/>
      <c r="U495" s="681"/>
      <c r="V495" s="682"/>
    </row>
    <row r="496" spans="1:22" ht="24.95" customHeight="1" x14ac:dyDescent="0.15">
      <c r="A496" s="694" t="s">
        <v>273</v>
      </c>
      <c r="B496" s="695"/>
      <c r="C496" s="695"/>
      <c r="D496" s="696"/>
      <c r="E496" s="708">
        <v>13000</v>
      </c>
      <c r="F496" s="708"/>
      <c r="G496" s="708"/>
      <c r="H496" s="2" t="s">
        <v>73</v>
      </c>
      <c r="I496" s="874"/>
      <c r="J496" s="694" t="s">
        <v>273</v>
      </c>
      <c r="K496" s="695"/>
      <c r="L496" s="695"/>
      <c r="M496" s="696"/>
      <c r="N496" s="708">
        <v>13000</v>
      </c>
      <c r="O496" s="708"/>
      <c r="P496" s="708"/>
      <c r="Q496" s="2" t="s">
        <v>73</v>
      </c>
      <c r="R496" s="874"/>
      <c r="S496" s="723">
        <f t="shared" si="16"/>
        <v>0</v>
      </c>
      <c r="T496" s="724"/>
      <c r="U496" s="724"/>
      <c r="V496" s="339" t="s">
        <v>73</v>
      </c>
    </row>
    <row r="497" spans="1:22" ht="24.95" customHeight="1" x14ac:dyDescent="0.15">
      <c r="A497" s="853" t="s">
        <v>257</v>
      </c>
      <c r="B497" s="854"/>
      <c r="C497" s="854"/>
      <c r="D497" s="855"/>
      <c r="E497" s="1107" t="s">
        <v>188</v>
      </c>
      <c r="F497" s="1108"/>
      <c r="G497" s="1108"/>
      <c r="H497" s="1109"/>
      <c r="I497" s="874"/>
      <c r="J497" s="853" t="s">
        <v>257</v>
      </c>
      <c r="K497" s="854"/>
      <c r="L497" s="854"/>
      <c r="M497" s="855"/>
      <c r="N497" s="1107" t="s">
        <v>188</v>
      </c>
      <c r="O497" s="1108"/>
      <c r="P497" s="1108"/>
      <c r="Q497" s="1109"/>
      <c r="R497" s="874"/>
      <c r="S497" s="680" t="s">
        <v>1268</v>
      </c>
      <c r="T497" s="681"/>
      <c r="U497" s="681"/>
      <c r="V497" s="682"/>
    </row>
    <row r="498" spans="1:22" ht="24.95" customHeight="1" x14ac:dyDescent="0.15">
      <c r="A498" s="694" t="s">
        <v>274</v>
      </c>
      <c r="B498" s="695"/>
      <c r="C498" s="695"/>
      <c r="D498" s="696"/>
      <c r="E498" s="708">
        <v>15000</v>
      </c>
      <c r="F498" s="708"/>
      <c r="G498" s="708"/>
      <c r="H498" s="2" t="s">
        <v>73</v>
      </c>
      <c r="I498" s="874"/>
      <c r="J498" s="694" t="s">
        <v>274</v>
      </c>
      <c r="K498" s="695"/>
      <c r="L498" s="695"/>
      <c r="M498" s="696"/>
      <c r="N498" s="708">
        <v>27000</v>
      </c>
      <c r="O498" s="708"/>
      <c r="P498" s="708"/>
      <c r="Q498" s="2" t="s">
        <v>73</v>
      </c>
      <c r="R498" s="874"/>
      <c r="S498" s="781">
        <f>N498-E498</f>
        <v>12000</v>
      </c>
      <c r="T498" s="677"/>
      <c r="U498" s="677"/>
      <c r="V498" s="339" t="s">
        <v>73</v>
      </c>
    </row>
    <row r="499" spans="1:22" ht="24.95" customHeight="1" x14ac:dyDescent="0.15">
      <c r="A499" s="694" t="s">
        <v>275</v>
      </c>
      <c r="B499" s="695"/>
      <c r="C499" s="695"/>
      <c r="D499" s="696"/>
      <c r="E499" s="708">
        <v>13000</v>
      </c>
      <c r="F499" s="708"/>
      <c r="G499" s="708"/>
      <c r="H499" s="2" t="s">
        <v>73</v>
      </c>
      <c r="I499" s="874"/>
      <c r="J499" s="694" t="s">
        <v>275</v>
      </c>
      <c r="K499" s="695"/>
      <c r="L499" s="695"/>
      <c r="M499" s="696"/>
      <c r="N499" s="708">
        <v>13000</v>
      </c>
      <c r="O499" s="708"/>
      <c r="P499" s="708"/>
      <c r="Q499" s="2" t="s">
        <v>73</v>
      </c>
      <c r="R499" s="874"/>
      <c r="S499" s="781">
        <f>N499-E499</f>
        <v>0</v>
      </c>
      <c r="T499" s="677"/>
      <c r="U499" s="677"/>
      <c r="V499" s="339" t="s">
        <v>73</v>
      </c>
    </row>
    <row r="500" spans="1:22" ht="27" customHeight="1" thickBot="1" x14ac:dyDescent="0.2">
      <c r="A500" s="671" t="s">
        <v>259</v>
      </c>
      <c r="B500" s="672"/>
      <c r="C500" s="672"/>
      <c r="D500" s="673"/>
      <c r="E500" s="1079">
        <v>924000</v>
      </c>
      <c r="F500" s="1080"/>
      <c r="G500" s="1081"/>
      <c r="H500" s="4" t="s">
        <v>73</v>
      </c>
      <c r="I500" s="875"/>
      <c r="J500" s="705"/>
      <c r="K500" s="706"/>
      <c r="L500" s="706"/>
      <c r="M500" s="706"/>
      <c r="N500" s="706"/>
      <c r="O500" s="706"/>
      <c r="P500" s="706"/>
      <c r="Q500" s="707"/>
      <c r="R500" s="875"/>
      <c r="S500" s="342"/>
      <c r="T500" s="343"/>
      <c r="U500" s="343"/>
      <c r="V500" s="344"/>
    </row>
    <row r="501" spans="1:22" ht="27" customHeight="1" x14ac:dyDescent="0.15">
      <c r="B501" s="55"/>
      <c r="C501" s="455"/>
      <c r="D501" s="455"/>
      <c r="E501" s="455"/>
      <c r="F501" s="455"/>
      <c r="G501" s="468"/>
      <c r="H501" s="468"/>
      <c r="I501" s="468"/>
      <c r="J501" s="453"/>
      <c r="K501" s="57"/>
      <c r="L501" s="404"/>
      <c r="M501" s="404"/>
      <c r="N501" s="404"/>
      <c r="O501" s="404"/>
      <c r="P501" s="404"/>
      <c r="Q501" s="404"/>
      <c r="R501" s="404"/>
      <c r="S501" s="404"/>
      <c r="T501" s="453"/>
    </row>
    <row r="502" spans="1:22" ht="27" customHeight="1" x14ac:dyDescent="0.15">
      <c r="A502" s="55" t="s">
        <v>603</v>
      </c>
      <c r="B502" s="55"/>
      <c r="C502" s="55"/>
      <c r="O502" s="55"/>
      <c r="P502" s="55"/>
      <c r="Q502" s="55"/>
      <c r="R502" s="55"/>
      <c r="S502" s="55"/>
    </row>
    <row r="503" spans="1:22" ht="27" customHeight="1" x14ac:dyDescent="0.15">
      <c r="A503" s="55"/>
      <c r="B503" s="700" t="s">
        <v>604</v>
      </c>
      <c r="C503" s="701"/>
      <c r="D503" s="701"/>
      <c r="E503" s="701"/>
      <c r="F503" s="701"/>
      <c r="G503" s="702"/>
      <c r="H503" s="865" t="s">
        <v>1800</v>
      </c>
      <c r="I503" s="763"/>
      <c r="J503" s="763"/>
      <c r="K503" s="763"/>
      <c r="L503" s="763"/>
      <c r="M503" s="763"/>
      <c r="N503" s="763"/>
      <c r="O503" s="763"/>
      <c r="P503" s="763"/>
      <c r="Q503" s="763"/>
      <c r="R503" s="763"/>
      <c r="S503" s="763"/>
      <c r="T503" s="763"/>
      <c r="U503" s="763"/>
      <c r="V503" s="763"/>
    </row>
    <row r="504" spans="1:22" ht="13.5" customHeight="1" thickBot="1" x14ac:dyDescent="0.2">
      <c r="A504" s="55"/>
      <c r="B504" s="55"/>
      <c r="C504" s="55"/>
      <c r="O504" s="55"/>
      <c r="P504" s="55"/>
      <c r="Q504" s="55"/>
      <c r="R504" s="55"/>
      <c r="S504" s="55"/>
      <c r="T504" s="55"/>
    </row>
    <row r="505" spans="1:22" ht="30" customHeight="1" thickBot="1" x14ac:dyDescent="0.2">
      <c r="A505" s="850" t="s">
        <v>122</v>
      </c>
      <c r="B505" s="851"/>
      <c r="C505" s="852"/>
      <c r="D505" s="876"/>
      <c r="E505" s="876"/>
      <c r="F505" s="890" t="s">
        <v>160</v>
      </c>
      <c r="G505" s="851"/>
      <c r="H505" s="852"/>
      <c r="I505" s="703"/>
      <c r="J505" s="703"/>
      <c r="K505" s="1022" t="s">
        <v>161</v>
      </c>
      <c r="L505" s="1022"/>
      <c r="M505" s="679" t="s">
        <v>162</v>
      </c>
      <c r="N505" s="679"/>
      <c r="O505" s="679"/>
      <c r="P505" s="703"/>
      <c r="Q505" s="704"/>
    </row>
    <row r="506" spans="1:22" ht="30" customHeight="1" thickBot="1" x14ac:dyDescent="0.2">
      <c r="A506" s="720" t="s">
        <v>1805</v>
      </c>
      <c r="B506" s="721"/>
      <c r="C506" s="721"/>
      <c r="D506" s="721"/>
      <c r="E506" s="721"/>
      <c r="F506" s="721"/>
      <c r="G506" s="721"/>
      <c r="H506" s="722"/>
      <c r="I506" s="873" t="s">
        <v>181</v>
      </c>
      <c r="J506" s="720" t="s">
        <v>1806</v>
      </c>
      <c r="K506" s="721"/>
      <c r="L506" s="721"/>
      <c r="M506" s="721"/>
      <c r="N506" s="721"/>
      <c r="O506" s="721"/>
      <c r="P506" s="721"/>
      <c r="Q506" s="722"/>
      <c r="R506" s="873" t="s">
        <v>1269</v>
      </c>
      <c r="S506" s="1046" t="s">
        <v>1807</v>
      </c>
      <c r="T506" s="1047"/>
      <c r="U506" s="1047"/>
      <c r="V506" s="1048"/>
    </row>
    <row r="507" spans="1:22" ht="27" customHeight="1" thickTop="1" x14ac:dyDescent="0.15">
      <c r="A507" s="717" t="s">
        <v>164</v>
      </c>
      <c r="B507" s="718"/>
      <c r="C507" s="718"/>
      <c r="D507" s="719"/>
      <c r="E507" s="1010"/>
      <c r="F507" s="1010"/>
      <c r="G507" s="1010"/>
      <c r="H507" s="1" t="s">
        <v>73</v>
      </c>
      <c r="I507" s="874"/>
      <c r="J507" s="717" t="s">
        <v>164</v>
      </c>
      <c r="K507" s="718"/>
      <c r="L507" s="718"/>
      <c r="M507" s="719"/>
      <c r="N507" s="1010"/>
      <c r="O507" s="1010"/>
      <c r="P507" s="1010"/>
      <c r="Q507" s="1" t="s">
        <v>73</v>
      </c>
      <c r="R507" s="874"/>
      <c r="S507" s="723">
        <f t="shared" ref="S507:S515" si="17">N507-E507</f>
        <v>0</v>
      </c>
      <c r="T507" s="724"/>
      <c r="U507" s="724"/>
      <c r="V507" s="340" t="s">
        <v>73</v>
      </c>
    </row>
    <row r="508" spans="1:22" ht="27" customHeight="1" x14ac:dyDescent="0.15">
      <c r="A508" s="709" t="s">
        <v>276</v>
      </c>
      <c r="B508" s="710"/>
      <c r="C508" s="710"/>
      <c r="D508" s="711"/>
      <c r="E508" s="708">
        <f>SUM(E509+E512+E515+E517+E518)</f>
        <v>0</v>
      </c>
      <c r="F508" s="708"/>
      <c r="G508" s="708"/>
      <c r="H508" s="2" t="s">
        <v>73</v>
      </c>
      <c r="I508" s="874"/>
      <c r="J508" s="709" t="s">
        <v>276</v>
      </c>
      <c r="K508" s="710"/>
      <c r="L508" s="710"/>
      <c r="M508" s="711"/>
      <c r="N508" s="708">
        <f>SUM(N509+N512+N515+N517+N518)</f>
        <v>0</v>
      </c>
      <c r="O508" s="708"/>
      <c r="P508" s="708"/>
      <c r="Q508" s="2" t="s">
        <v>73</v>
      </c>
      <c r="R508" s="874"/>
      <c r="S508" s="723">
        <f t="shared" si="17"/>
        <v>0</v>
      </c>
      <c r="T508" s="724"/>
      <c r="U508" s="724"/>
      <c r="V508" s="339" t="s">
        <v>73</v>
      </c>
    </row>
    <row r="509" spans="1:22" ht="27" customHeight="1" x14ac:dyDescent="0.15">
      <c r="A509" s="694" t="s">
        <v>271</v>
      </c>
      <c r="B509" s="695"/>
      <c r="C509" s="695"/>
      <c r="D509" s="696"/>
      <c r="E509" s="678"/>
      <c r="F509" s="678"/>
      <c r="G509" s="678"/>
      <c r="H509" s="2" t="s">
        <v>73</v>
      </c>
      <c r="I509" s="874"/>
      <c r="J509" s="694" t="s">
        <v>271</v>
      </c>
      <c r="K509" s="695"/>
      <c r="L509" s="695"/>
      <c r="M509" s="696"/>
      <c r="N509" s="678"/>
      <c r="O509" s="678"/>
      <c r="P509" s="678"/>
      <c r="Q509" s="2" t="s">
        <v>73</v>
      </c>
      <c r="R509" s="874"/>
      <c r="S509" s="723">
        <f t="shared" si="17"/>
        <v>0</v>
      </c>
      <c r="T509" s="724"/>
      <c r="U509" s="724"/>
      <c r="V509" s="339" t="s">
        <v>73</v>
      </c>
    </row>
    <row r="510" spans="1:22" ht="27" customHeight="1" x14ac:dyDescent="0.15">
      <c r="A510" s="714" t="s">
        <v>177</v>
      </c>
      <c r="B510" s="715"/>
      <c r="C510" s="715"/>
      <c r="D510" s="716"/>
      <c r="E510" s="678"/>
      <c r="F510" s="678"/>
      <c r="G510" s="678"/>
      <c r="H510" s="3" t="s">
        <v>179</v>
      </c>
      <c r="I510" s="874"/>
      <c r="J510" s="714" t="s">
        <v>177</v>
      </c>
      <c r="K510" s="715"/>
      <c r="L510" s="715"/>
      <c r="M510" s="716"/>
      <c r="N510" s="678"/>
      <c r="O510" s="678"/>
      <c r="P510" s="678"/>
      <c r="Q510" s="3" t="s">
        <v>179</v>
      </c>
      <c r="R510" s="874"/>
      <c r="S510" s="723">
        <f t="shared" si="17"/>
        <v>0</v>
      </c>
      <c r="T510" s="724"/>
      <c r="U510" s="724"/>
      <c r="V510" s="341" t="s">
        <v>179</v>
      </c>
    </row>
    <row r="511" spans="1:22" ht="24.95" customHeight="1" x14ac:dyDescent="0.15">
      <c r="A511" s="674" t="s">
        <v>1484</v>
      </c>
      <c r="B511" s="675"/>
      <c r="C511" s="675"/>
      <c r="D511" s="676"/>
      <c r="E511" s="677" t="str">
        <f>IF(E509=0,"",E509/E510)</f>
        <v/>
      </c>
      <c r="F511" s="677"/>
      <c r="G511" s="677"/>
      <c r="H511" s="339" t="s">
        <v>73</v>
      </c>
      <c r="I511" s="874"/>
      <c r="J511" s="674" t="s">
        <v>1484</v>
      </c>
      <c r="K511" s="675"/>
      <c r="L511" s="675"/>
      <c r="M511" s="676"/>
      <c r="N511" s="677" t="str">
        <f>IF(N509=0,"",N509/N510)</f>
        <v/>
      </c>
      <c r="O511" s="677"/>
      <c r="P511" s="677"/>
      <c r="Q511" s="339" t="s">
        <v>73</v>
      </c>
      <c r="R511" s="874"/>
      <c r="S511" s="680" t="s">
        <v>1268</v>
      </c>
      <c r="T511" s="681"/>
      <c r="U511" s="681"/>
      <c r="V511" s="682"/>
    </row>
    <row r="512" spans="1:22" ht="27" customHeight="1" x14ac:dyDescent="0.15">
      <c r="A512" s="694" t="s">
        <v>272</v>
      </c>
      <c r="B512" s="695"/>
      <c r="C512" s="695"/>
      <c r="D512" s="696"/>
      <c r="E512" s="678"/>
      <c r="F512" s="678"/>
      <c r="G512" s="678"/>
      <c r="H512" s="2" t="s">
        <v>73</v>
      </c>
      <c r="I512" s="874"/>
      <c r="J512" s="694" t="s">
        <v>272</v>
      </c>
      <c r="K512" s="695"/>
      <c r="L512" s="695"/>
      <c r="M512" s="696"/>
      <c r="N512" s="678"/>
      <c r="O512" s="678"/>
      <c r="P512" s="678"/>
      <c r="Q512" s="2" t="s">
        <v>73</v>
      </c>
      <c r="R512" s="874"/>
      <c r="S512" s="723">
        <f t="shared" si="17"/>
        <v>0</v>
      </c>
      <c r="T512" s="724"/>
      <c r="U512" s="724"/>
      <c r="V512" s="339" t="s">
        <v>73</v>
      </c>
    </row>
    <row r="513" spans="1:22" ht="27" customHeight="1" x14ac:dyDescent="0.15">
      <c r="A513" s="714" t="s">
        <v>178</v>
      </c>
      <c r="B513" s="715"/>
      <c r="C513" s="715"/>
      <c r="D513" s="716"/>
      <c r="E513" s="678"/>
      <c r="F513" s="678"/>
      <c r="G513" s="678"/>
      <c r="H513" s="3" t="s">
        <v>180</v>
      </c>
      <c r="I513" s="874"/>
      <c r="J513" s="714" t="s">
        <v>178</v>
      </c>
      <c r="K513" s="715"/>
      <c r="L513" s="715"/>
      <c r="M513" s="716"/>
      <c r="N513" s="678"/>
      <c r="O513" s="678"/>
      <c r="P513" s="678"/>
      <c r="Q513" s="3" t="s">
        <v>180</v>
      </c>
      <c r="R513" s="874"/>
      <c r="S513" s="723">
        <f t="shared" si="17"/>
        <v>0</v>
      </c>
      <c r="T513" s="724"/>
      <c r="U513" s="724"/>
      <c r="V513" s="341" t="s">
        <v>180</v>
      </c>
    </row>
    <row r="514" spans="1:22" ht="24.95" customHeight="1" x14ac:dyDescent="0.15">
      <c r="A514" s="1104" t="s">
        <v>1486</v>
      </c>
      <c r="B514" s="1105"/>
      <c r="C514" s="1105"/>
      <c r="D514" s="1106"/>
      <c r="E514" s="677" t="str">
        <f>IF(E512=0,"",E512/E513)</f>
        <v/>
      </c>
      <c r="F514" s="677"/>
      <c r="G514" s="677"/>
      <c r="H514" s="339" t="s">
        <v>73</v>
      </c>
      <c r="I514" s="874"/>
      <c r="J514" s="674" t="s">
        <v>1486</v>
      </c>
      <c r="K514" s="675"/>
      <c r="L514" s="675"/>
      <c r="M514" s="676"/>
      <c r="N514" s="677" t="str">
        <f>IF(N512=0,"",N512/N513)</f>
        <v/>
      </c>
      <c r="O514" s="677"/>
      <c r="P514" s="677"/>
      <c r="Q514" s="339" t="s">
        <v>73</v>
      </c>
      <c r="R514" s="874"/>
      <c r="S514" s="680" t="s">
        <v>1268</v>
      </c>
      <c r="T514" s="681"/>
      <c r="U514" s="681"/>
      <c r="V514" s="682"/>
    </row>
    <row r="515" spans="1:22" ht="27" customHeight="1" x14ac:dyDescent="0.15">
      <c r="A515" s="694" t="s">
        <v>273</v>
      </c>
      <c r="B515" s="695"/>
      <c r="C515" s="695"/>
      <c r="D515" s="696"/>
      <c r="E515" s="678"/>
      <c r="F515" s="678"/>
      <c r="G515" s="678"/>
      <c r="H515" s="2" t="s">
        <v>73</v>
      </c>
      <c r="I515" s="874"/>
      <c r="J515" s="694" t="s">
        <v>273</v>
      </c>
      <c r="K515" s="695"/>
      <c r="L515" s="695"/>
      <c r="M515" s="696"/>
      <c r="N515" s="678"/>
      <c r="O515" s="678"/>
      <c r="P515" s="678"/>
      <c r="Q515" s="2" t="s">
        <v>73</v>
      </c>
      <c r="R515" s="874"/>
      <c r="S515" s="723">
        <f t="shared" si="17"/>
        <v>0</v>
      </c>
      <c r="T515" s="724"/>
      <c r="U515" s="724"/>
      <c r="V515" s="339" t="s">
        <v>73</v>
      </c>
    </row>
    <row r="516" spans="1:22" ht="27" customHeight="1" x14ac:dyDescent="0.15">
      <c r="A516" s="714" t="s">
        <v>257</v>
      </c>
      <c r="B516" s="715"/>
      <c r="C516" s="715"/>
      <c r="D516" s="716"/>
      <c r="E516" s="697"/>
      <c r="F516" s="698"/>
      <c r="G516" s="698"/>
      <c r="H516" s="699"/>
      <c r="I516" s="874"/>
      <c r="J516" s="714" t="s">
        <v>257</v>
      </c>
      <c r="K516" s="715"/>
      <c r="L516" s="715"/>
      <c r="M516" s="716"/>
      <c r="N516" s="697"/>
      <c r="O516" s="698"/>
      <c r="P516" s="698"/>
      <c r="Q516" s="699"/>
      <c r="R516" s="874"/>
      <c r="S516" s="680" t="s">
        <v>1268</v>
      </c>
      <c r="T516" s="681"/>
      <c r="U516" s="681"/>
      <c r="V516" s="682"/>
    </row>
    <row r="517" spans="1:22" ht="27" customHeight="1" x14ac:dyDescent="0.15">
      <c r="A517" s="694" t="s">
        <v>274</v>
      </c>
      <c r="B517" s="695"/>
      <c r="C517" s="695"/>
      <c r="D517" s="696"/>
      <c r="E517" s="678"/>
      <c r="F517" s="678"/>
      <c r="G517" s="678"/>
      <c r="H517" s="2" t="s">
        <v>73</v>
      </c>
      <c r="I517" s="874"/>
      <c r="J517" s="694" t="s">
        <v>274</v>
      </c>
      <c r="K517" s="695"/>
      <c r="L517" s="695"/>
      <c r="M517" s="696"/>
      <c r="N517" s="678"/>
      <c r="O517" s="678"/>
      <c r="P517" s="678"/>
      <c r="Q517" s="2" t="s">
        <v>73</v>
      </c>
      <c r="R517" s="874"/>
      <c r="S517" s="781">
        <f>N517-E517</f>
        <v>0</v>
      </c>
      <c r="T517" s="677"/>
      <c r="U517" s="677"/>
      <c r="V517" s="339" t="s">
        <v>73</v>
      </c>
    </row>
    <row r="518" spans="1:22" ht="27" customHeight="1" x14ac:dyDescent="0.15">
      <c r="A518" s="694" t="s">
        <v>275</v>
      </c>
      <c r="B518" s="695"/>
      <c r="C518" s="695"/>
      <c r="D518" s="696"/>
      <c r="E518" s="678"/>
      <c r="F518" s="678"/>
      <c r="G518" s="678"/>
      <c r="H518" s="2" t="s">
        <v>73</v>
      </c>
      <c r="I518" s="874"/>
      <c r="J518" s="694" t="s">
        <v>275</v>
      </c>
      <c r="K518" s="695"/>
      <c r="L518" s="695"/>
      <c r="M518" s="696"/>
      <c r="N518" s="678"/>
      <c r="O518" s="678"/>
      <c r="P518" s="678"/>
      <c r="Q518" s="2" t="s">
        <v>73</v>
      </c>
      <c r="R518" s="874"/>
      <c r="S518" s="781">
        <f>N518-E518</f>
        <v>0</v>
      </c>
      <c r="T518" s="677"/>
      <c r="U518" s="677"/>
      <c r="V518" s="339" t="s">
        <v>73</v>
      </c>
    </row>
    <row r="519" spans="1:22" ht="27" customHeight="1" thickBot="1" x14ac:dyDescent="0.2">
      <c r="A519" s="671" t="s">
        <v>259</v>
      </c>
      <c r="B519" s="672"/>
      <c r="C519" s="672"/>
      <c r="D519" s="673"/>
      <c r="E519" s="1016"/>
      <c r="F519" s="1017"/>
      <c r="G519" s="1018"/>
      <c r="H519" s="4" t="s">
        <v>73</v>
      </c>
      <c r="I519" s="875"/>
      <c r="J519" s="705"/>
      <c r="K519" s="706"/>
      <c r="L519" s="706"/>
      <c r="M519" s="706"/>
      <c r="N519" s="706"/>
      <c r="O519" s="706"/>
      <c r="P519" s="706"/>
      <c r="Q519" s="707"/>
      <c r="R519" s="875"/>
      <c r="S519" s="342"/>
      <c r="T519" s="343"/>
      <c r="U519" s="343"/>
      <c r="V519" s="344"/>
    </row>
    <row r="520" spans="1:22" ht="27" customHeight="1" x14ac:dyDescent="0.15">
      <c r="B520" s="54" t="s">
        <v>593</v>
      </c>
      <c r="C520" s="96"/>
      <c r="D520" s="54"/>
      <c r="E520" s="455"/>
      <c r="F520" s="455"/>
      <c r="G520" s="455"/>
      <c r="H520" s="468"/>
      <c r="I520" s="468"/>
      <c r="J520" s="468"/>
      <c r="K520" s="453"/>
      <c r="L520" s="97"/>
      <c r="M520" s="404"/>
      <c r="N520" s="404"/>
      <c r="O520" s="404"/>
      <c r="P520" s="404"/>
      <c r="Q520" s="404"/>
      <c r="R520" s="404"/>
      <c r="S520" s="404"/>
      <c r="T520" s="404"/>
      <c r="U520" s="453"/>
    </row>
    <row r="521" spans="1:22" ht="27" customHeight="1" x14ac:dyDescent="0.15">
      <c r="B521" s="1025" t="s">
        <v>258</v>
      </c>
      <c r="C521" s="1026"/>
      <c r="D521" s="1026"/>
      <c r="E521" s="1026"/>
      <c r="F521" s="1026"/>
      <c r="G521" s="1026"/>
      <c r="H521" s="1026"/>
      <c r="I521" s="1026"/>
      <c r="J521" s="1026"/>
      <c r="K521" s="1026"/>
      <c r="L521" s="1026"/>
      <c r="M521" s="1026"/>
      <c r="N521" s="1026"/>
      <c r="O521" s="1026"/>
      <c r="P521" s="1026"/>
      <c r="Q521" s="1026"/>
      <c r="R521" s="1026"/>
      <c r="S521" s="1026"/>
      <c r="T521" s="1026"/>
      <c r="U521" s="1027"/>
      <c r="V521" s="473"/>
    </row>
    <row r="522" spans="1:22" ht="27" customHeight="1" x14ac:dyDescent="0.15">
      <c r="B522" s="1028"/>
      <c r="C522" s="1029"/>
      <c r="D522" s="1029"/>
      <c r="E522" s="1029"/>
      <c r="F522" s="1029"/>
      <c r="G522" s="1029"/>
      <c r="H522" s="1029"/>
      <c r="I522" s="1029"/>
      <c r="J522" s="1029"/>
      <c r="K522" s="1029"/>
      <c r="L522" s="1029"/>
      <c r="M522" s="1029"/>
      <c r="N522" s="1029"/>
      <c r="O522" s="1029"/>
      <c r="P522" s="1029"/>
      <c r="Q522" s="1029"/>
      <c r="R522" s="1029"/>
      <c r="S522" s="1029"/>
      <c r="T522" s="1029"/>
      <c r="U522" s="1030"/>
      <c r="V522" s="473"/>
    </row>
    <row r="523" spans="1:22" ht="27" customHeight="1" x14ac:dyDescent="0.15">
      <c r="A523" s="55"/>
      <c r="B523" s="55"/>
      <c r="C523" s="55"/>
      <c r="O523" s="55"/>
      <c r="P523" s="55"/>
      <c r="Q523" s="55"/>
      <c r="R523" s="55"/>
      <c r="S523" s="55"/>
      <c r="T523" s="55"/>
    </row>
    <row r="524" spans="1:22" ht="27" customHeight="1" x14ac:dyDescent="0.15">
      <c r="A524" s="55"/>
      <c r="B524" s="700" t="s">
        <v>605</v>
      </c>
      <c r="C524" s="701"/>
      <c r="D524" s="701"/>
      <c r="E524" s="701"/>
      <c r="F524" s="701"/>
      <c r="G524" s="702"/>
      <c r="I524" s="126"/>
      <c r="J524" s="126"/>
      <c r="K524" s="126"/>
      <c r="L524" s="126"/>
      <c r="M524" s="126"/>
      <c r="N524" s="127"/>
      <c r="O524" s="127"/>
      <c r="P524" s="36"/>
      <c r="Q524" s="55"/>
      <c r="R524" s="55"/>
      <c r="S524" s="55"/>
    </row>
    <row r="525" spans="1:22" ht="13.5" customHeight="1" thickBot="1" x14ac:dyDescent="0.2">
      <c r="A525" s="55"/>
      <c r="B525" s="55"/>
      <c r="C525" s="55"/>
      <c r="O525" s="55"/>
      <c r="P525" s="55"/>
      <c r="Q525" s="55"/>
      <c r="R525" s="55"/>
      <c r="S525" s="55"/>
      <c r="T525" s="55"/>
    </row>
    <row r="526" spans="1:22" ht="30" customHeight="1" thickBot="1" x14ac:dyDescent="0.2">
      <c r="A526" s="850" t="s">
        <v>122</v>
      </c>
      <c r="B526" s="851"/>
      <c r="C526" s="852"/>
      <c r="D526" s="876"/>
      <c r="E526" s="876"/>
      <c r="F526" s="890" t="s">
        <v>160</v>
      </c>
      <c r="G526" s="851"/>
      <c r="H526" s="852"/>
      <c r="I526" s="703"/>
      <c r="J526" s="703"/>
      <c r="K526" s="1022" t="s">
        <v>161</v>
      </c>
      <c r="L526" s="1022"/>
      <c r="M526" s="679" t="s">
        <v>162</v>
      </c>
      <c r="N526" s="679"/>
      <c r="O526" s="679"/>
      <c r="P526" s="703"/>
      <c r="Q526" s="704"/>
    </row>
    <row r="527" spans="1:22" ht="30" customHeight="1" thickBot="1" x14ac:dyDescent="0.2">
      <c r="A527" s="720" t="s">
        <v>1805</v>
      </c>
      <c r="B527" s="721"/>
      <c r="C527" s="721"/>
      <c r="D527" s="721"/>
      <c r="E527" s="721"/>
      <c r="F527" s="721"/>
      <c r="G527" s="721"/>
      <c r="H527" s="722"/>
      <c r="I527" s="873" t="s">
        <v>181</v>
      </c>
      <c r="J527" s="720" t="s">
        <v>1806</v>
      </c>
      <c r="K527" s="721"/>
      <c r="L527" s="721"/>
      <c r="M527" s="721"/>
      <c r="N527" s="721"/>
      <c r="O527" s="721"/>
      <c r="P527" s="721"/>
      <c r="Q527" s="722"/>
      <c r="R527" s="873" t="s">
        <v>1269</v>
      </c>
      <c r="S527" s="1046" t="s">
        <v>1807</v>
      </c>
      <c r="T527" s="1047"/>
      <c r="U527" s="1047"/>
      <c r="V527" s="1048"/>
    </row>
    <row r="528" spans="1:22" ht="27" customHeight="1" thickTop="1" x14ac:dyDescent="0.15">
      <c r="A528" s="717" t="s">
        <v>164</v>
      </c>
      <c r="B528" s="718"/>
      <c r="C528" s="718"/>
      <c r="D528" s="719"/>
      <c r="E528" s="1010"/>
      <c r="F528" s="1010"/>
      <c r="G528" s="1010"/>
      <c r="H528" s="1" t="s">
        <v>73</v>
      </c>
      <c r="I528" s="874"/>
      <c r="J528" s="717" t="s">
        <v>164</v>
      </c>
      <c r="K528" s="718"/>
      <c r="L528" s="718"/>
      <c r="M528" s="719"/>
      <c r="N528" s="1010"/>
      <c r="O528" s="1010"/>
      <c r="P528" s="1010"/>
      <c r="Q528" s="1" t="s">
        <v>73</v>
      </c>
      <c r="R528" s="874"/>
      <c r="S528" s="723">
        <f t="shared" ref="S528:S536" si="18">N528-E528</f>
        <v>0</v>
      </c>
      <c r="T528" s="724"/>
      <c r="U528" s="724"/>
      <c r="V528" s="340" t="s">
        <v>73</v>
      </c>
    </row>
    <row r="529" spans="1:22" ht="27" customHeight="1" x14ac:dyDescent="0.15">
      <c r="A529" s="709" t="s">
        <v>276</v>
      </c>
      <c r="B529" s="710"/>
      <c r="C529" s="710"/>
      <c r="D529" s="711"/>
      <c r="E529" s="708">
        <f>SUM(E530+E533+E536+E538+E539)</f>
        <v>0</v>
      </c>
      <c r="F529" s="708"/>
      <c r="G529" s="708"/>
      <c r="H529" s="2" t="s">
        <v>73</v>
      </c>
      <c r="I529" s="874"/>
      <c r="J529" s="709" t="s">
        <v>276</v>
      </c>
      <c r="K529" s="710"/>
      <c r="L529" s="710"/>
      <c r="M529" s="711"/>
      <c r="N529" s="708">
        <f>SUM(N530+N533+N536+N538+N539)</f>
        <v>0</v>
      </c>
      <c r="O529" s="708"/>
      <c r="P529" s="708"/>
      <c r="Q529" s="2" t="s">
        <v>73</v>
      </c>
      <c r="R529" s="874"/>
      <c r="S529" s="723">
        <f t="shared" si="18"/>
        <v>0</v>
      </c>
      <c r="T529" s="724"/>
      <c r="U529" s="724"/>
      <c r="V529" s="339" t="s">
        <v>73</v>
      </c>
    </row>
    <row r="530" spans="1:22" ht="27" customHeight="1" x14ac:dyDescent="0.15">
      <c r="A530" s="694" t="s">
        <v>271</v>
      </c>
      <c r="B530" s="695"/>
      <c r="C530" s="695"/>
      <c r="D530" s="696"/>
      <c r="E530" s="678"/>
      <c r="F530" s="678"/>
      <c r="G530" s="678"/>
      <c r="H530" s="2" t="s">
        <v>73</v>
      </c>
      <c r="I530" s="874"/>
      <c r="J530" s="694" t="s">
        <v>271</v>
      </c>
      <c r="K530" s="695"/>
      <c r="L530" s="695"/>
      <c r="M530" s="696"/>
      <c r="N530" s="678"/>
      <c r="O530" s="678"/>
      <c r="P530" s="678"/>
      <c r="Q530" s="2" t="s">
        <v>73</v>
      </c>
      <c r="R530" s="874"/>
      <c r="S530" s="723">
        <f t="shared" si="18"/>
        <v>0</v>
      </c>
      <c r="T530" s="724"/>
      <c r="U530" s="724"/>
      <c r="V530" s="339" t="s">
        <v>73</v>
      </c>
    </row>
    <row r="531" spans="1:22" ht="27" customHeight="1" x14ac:dyDescent="0.15">
      <c r="A531" s="714" t="s">
        <v>177</v>
      </c>
      <c r="B531" s="715"/>
      <c r="C531" s="715"/>
      <c r="D531" s="716"/>
      <c r="E531" s="678"/>
      <c r="F531" s="678"/>
      <c r="G531" s="678"/>
      <c r="H531" s="3" t="s">
        <v>179</v>
      </c>
      <c r="I531" s="874"/>
      <c r="J531" s="714" t="s">
        <v>177</v>
      </c>
      <c r="K531" s="715"/>
      <c r="L531" s="715"/>
      <c r="M531" s="716"/>
      <c r="N531" s="678"/>
      <c r="O531" s="678"/>
      <c r="P531" s="678"/>
      <c r="Q531" s="3" t="s">
        <v>179</v>
      </c>
      <c r="R531" s="874"/>
      <c r="S531" s="723">
        <f t="shared" si="18"/>
        <v>0</v>
      </c>
      <c r="T531" s="724"/>
      <c r="U531" s="724"/>
      <c r="V531" s="341" t="s">
        <v>179</v>
      </c>
    </row>
    <row r="532" spans="1:22" ht="24.95" customHeight="1" x14ac:dyDescent="0.15">
      <c r="A532" s="674" t="s">
        <v>1484</v>
      </c>
      <c r="B532" s="675"/>
      <c r="C532" s="675"/>
      <c r="D532" s="676"/>
      <c r="E532" s="677" t="str">
        <f>IF(E530=0,"",E530/E531)</f>
        <v/>
      </c>
      <c r="F532" s="677"/>
      <c r="G532" s="677"/>
      <c r="H532" s="339" t="s">
        <v>73</v>
      </c>
      <c r="I532" s="874"/>
      <c r="J532" s="674" t="s">
        <v>1484</v>
      </c>
      <c r="K532" s="675"/>
      <c r="L532" s="675"/>
      <c r="M532" s="676"/>
      <c r="N532" s="677" t="str">
        <f>IF(N530=0,"",N530/N531)</f>
        <v/>
      </c>
      <c r="O532" s="677"/>
      <c r="P532" s="677"/>
      <c r="Q532" s="339" t="s">
        <v>73</v>
      </c>
      <c r="R532" s="874"/>
      <c r="S532" s="680" t="s">
        <v>1268</v>
      </c>
      <c r="T532" s="681"/>
      <c r="U532" s="681"/>
      <c r="V532" s="682"/>
    </row>
    <row r="533" spans="1:22" ht="27" customHeight="1" x14ac:dyDescent="0.15">
      <c r="A533" s="694" t="s">
        <v>272</v>
      </c>
      <c r="B533" s="695"/>
      <c r="C533" s="695"/>
      <c r="D533" s="696"/>
      <c r="E533" s="678"/>
      <c r="F533" s="678"/>
      <c r="G533" s="678"/>
      <c r="H533" s="2" t="s">
        <v>73</v>
      </c>
      <c r="I533" s="874"/>
      <c r="J533" s="694" t="s">
        <v>272</v>
      </c>
      <c r="K533" s="695"/>
      <c r="L533" s="695"/>
      <c r="M533" s="696"/>
      <c r="N533" s="678"/>
      <c r="O533" s="678"/>
      <c r="P533" s="678"/>
      <c r="Q533" s="2" t="s">
        <v>73</v>
      </c>
      <c r="R533" s="874"/>
      <c r="S533" s="723">
        <f t="shared" si="18"/>
        <v>0</v>
      </c>
      <c r="T533" s="724"/>
      <c r="U533" s="724"/>
      <c r="V533" s="339" t="s">
        <v>73</v>
      </c>
    </row>
    <row r="534" spans="1:22" ht="27" customHeight="1" x14ac:dyDescent="0.15">
      <c r="A534" s="714" t="s">
        <v>178</v>
      </c>
      <c r="B534" s="715"/>
      <c r="C534" s="715"/>
      <c r="D534" s="716"/>
      <c r="E534" s="678"/>
      <c r="F534" s="678"/>
      <c r="G534" s="678"/>
      <c r="H534" s="3" t="s">
        <v>180</v>
      </c>
      <c r="I534" s="874"/>
      <c r="J534" s="714" t="s">
        <v>178</v>
      </c>
      <c r="K534" s="715"/>
      <c r="L534" s="715"/>
      <c r="M534" s="716"/>
      <c r="N534" s="678"/>
      <c r="O534" s="678"/>
      <c r="P534" s="678"/>
      <c r="Q534" s="3" t="s">
        <v>180</v>
      </c>
      <c r="R534" s="874"/>
      <c r="S534" s="723">
        <f t="shared" si="18"/>
        <v>0</v>
      </c>
      <c r="T534" s="724"/>
      <c r="U534" s="724"/>
      <c r="V534" s="341" t="s">
        <v>180</v>
      </c>
    </row>
    <row r="535" spans="1:22" ht="24.95" customHeight="1" x14ac:dyDescent="0.15">
      <c r="A535" s="674" t="s">
        <v>1486</v>
      </c>
      <c r="B535" s="675"/>
      <c r="C535" s="675"/>
      <c r="D535" s="676"/>
      <c r="E535" s="677" t="str">
        <f>IF(E533=0,"",E533/E534)</f>
        <v/>
      </c>
      <c r="F535" s="677"/>
      <c r="G535" s="677"/>
      <c r="H535" s="339" t="s">
        <v>73</v>
      </c>
      <c r="I535" s="874"/>
      <c r="J535" s="674" t="s">
        <v>1486</v>
      </c>
      <c r="K535" s="675"/>
      <c r="L535" s="675"/>
      <c r="M535" s="676"/>
      <c r="N535" s="677" t="str">
        <f>IF(N533=0,"",N533/N534)</f>
        <v/>
      </c>
      <c r="O535" s="677"/>
      <c r="P535" s="677"/>
      <c r="Q535" s="339" t="s">
        <v>73</v>
      </c>
      <c r="R535" s="874"/>
      <c r="S535" s="680" t="s">
        <v>1268</v>
      </c>
      <c r="T535" s="681"/>
      <c r="U535" s="681"/>
      <c r="V535" s="682"/>
    </row>
    <row r="536" spans="1:22" ht="27" customHeight="1" x14ac:dyDescent="0.15">
      <c r="A536" s="694" t="s">
        <v>273</v>
      </c>
      <c r="B536" s="695"/>
      <c r="C536" s="695"/>
      <c r="D536" s="696"/>
      <c r="E536" s="678"/>
      <c r="F536" s="678"/>
      <c r="G536" s="678"/>
      <c r="H536" s="2" t="s">
        <v>73</v>
      </c>
      <c r="I536" s="874"/>
      <c r="J536" s="694" t="s">
        <v>273</v>
      </c>
      <c r="K536" s="695"/>
      <c r="L536" s="695"/>
      <c r="M536" s="696"/>
      <c r="N536" s="678"/>
      <c r="O536" s="678"/>
      <c r="P536" s="678"/>
      <c r="Q536" s="2" t="s">
        <v>73</v>
      </c>
      <c r="R536" s="874"/>
      <c r="S536" s="723">
        <f t="shared" si="18"/>
        <v>0</v>
      </c>
      <c r="T536" s="724"/>
      <c r="U536" s="724"/>
      <c r="V536" s="339" t="s">
        <v>73</v>
      </c>
    </row>
    <row r="537" spans="1:22" ht="27" customHeight="1" x14ac:dyDescent="0.15">
      <c r="A537" s="714" t="s">
        <v>257</v>
      </c>
      <c r="B537" s="715"/>
      <c r="C537" s="715"/>
      <c r="D537" s="716"/>
      <c r="E537" s="697"/>
      <c r="F537" s="698"/>
      <c r="G537" s="698"/>
      <c r="H537" s="699"/>
      <c r="I537" s="874"/>
      <c r="J537" s="714" t="s">
        <v>257</v>
      </c>
      <c r="K537" s="715"/>
      <c r="L537" s="715"/>
      <c r="M537" s="716"/>
      <c r="N537" s="697"/>
      <c r="O537" s="698"/>
      <c r="P537" s="698"/>
      <c r="Q537" s="699"/>
      <c r="R537" s="874"/>
      <c r="S537" s="680" t="s">
        <v>1270</v>
      </c>
      <c r="T537" s="681"/>
      <c r="U537" s="681"/>
      <c r="V537" s="682"/>
    </row>
    <row r="538" spans="1:22" ht="27" customHeight="1" x14ac:dyDescent="0.15">
      <c r="A538" s="694" t="s">
        <v>274</v>
      </c>
      <c r="B538" s="695"/>
      <c r="C538" s="695"/>
      <c r="D538" s="696"/>
      <c r="E538" s="678"/>
      <c r="F538" s="678"/>
      <c r="G538" s="678"/>
      <c r="H538" s="2" t="s">
        <v>73</v>
      </c>
      <c r="I538" s="874"/>
      <c r="J538" s="694" t="s">
        <v>274</v>
      </c>
      <c r="K538" s="695"/>
      <c r="L538" s="695"/>
      <c r="M538" s="696"/>
      <c r="N538" s="678"/>
      <c r="O538" s="678"/>
      <c r="P538" s="678"/>
      <c r="Q538" s="2" t="s">
        <v>73</v>
      </c>
      <c r="R538" s="874"/>
      <c r="S538" s="781">
        <f>N538-E538</f>
        <v>0</v>
      </c>
      <c r="T538" s="677"/>
      <c r="U538" s="677"/>
      <c r="V538" s="339" t="s">
        <v>73</v>
      </c>
    </row>
    <row r="539" spans="1:22" ht="27" customHeight="1" x14ac:dyDescent="0.15">
      <c r="A539" s="694" t="s">
        <v>275</v>
      </c>
      <c r="B539" s="695"/>
      <c r="C539" s="695"/>
      <c r="D539" s="696"/>
      <c r="E539" s="678"/>
      <c r="F539" s="678"/>
      <c r="G539" s="678"/>
      <c r="H539" s="2" t="s">
        <v>73</v>
      </c>
      <c r="I539" s="874"/>
      <c r="J539" s="694" t="s">
        <v>275</v>
      </c>
      <c r="K539" s="695"/>
      <c r="L539" s="695"/>
      <c r="M539" s="696"/>
      <c r="N539" s="678"/>
      <c r="O539" s="678"/>
      <c r="P539" s="678"/>
      <c r="Q539" s="2" t="s">
        <v>73</v>
      </c>
      <c r="R539" s="874"/>
      <c r="S539" s="781">
        <f>N539-E539</f>
        <v>0</v>
      </c>
      <c r="T539" s="677"/>
      <c r="U539" s="677"/>
      <c r="V539" s="339" t="s">
        <v>73</v>
      </c>
    </row>
    <row r="540" spans="1:22" ht="27" customHeight="1" thickBot="1" x14ac:dyDescent="0.2">
      <c r="A540" s="671" t="s">
        <v>259</v>
      </c>
      <c r="B540" s="672"/>
      <c r="C540" s="672"/>
      <c r="D540" s="673"/>
      <c r="E540" s="1016"/>
      <c r="F540" s="1017"/>
      <c r="G540" s="1018"/>
      <c r="H540" s="4" t="s">
        <v>73</v>
      </c>
      <c r="I540" s="875"/>
      <c r="J540" s="705"/>
      <c r="K540" s="706"/>
      <c r="L540" s="706"/>
      <c r="M540" s="706"/>
      <c r="N540" s="706"/>
      <c r="O540" s="706"/>
      <c r="P540" s="706"/>
      <c r="Q540" s="707"/>
      <c r="R540" s="875"/>
      <c r="S540" s="342"/>
      <c r="T540" s="343"/>
      <c r="U540" s="343"/>
      <c r="V540" s="344"/>
    </row>
    <row r="541" spans="1:22" ht="27" customHeight="1" x14ac:dyDescent="0.15">
      <c r="A541" s="55"/>
      <c r="B541" s="55"/>
      <c r="C541" s="55"/>
      <c r="O541" s="55"/>
      <c r="P541" s="55"/>
      <c r="Q541" s="55"/>
      <c r="R541" s="55"/>
      <c r="S541" s="55"/>
      <c r="T541" s="55"/>
    </row>
    <row r="542" spans="1:22" ht="27" customHeight="1" x14ac:dyDescent="0.15">
      <c r="A542" s="55"/>
      <c r="B542" s="700" t="s">
        <v>606</v>
      </c>
      <c r="C542" s="701"/>
      <c r="D542" s="701"/>
      <c r="E542" s="701"/>
      <c r="F542" s="701"/>
      <c r="G542" s="702"/>
      <c r="I542" s="126"/>
      <c r="J542" s="126"/>
      <c r="K542" s="126"/>
      <c r="L542" s="126"/>
      <c r="M542" s="126"/>
      <c r="N542" s="127"/>
      <c r="O542" s="127"/>
      <c r="P542" s="36"/>
      <c r="Q542" s="55"/>
      <c r="R542" s="55"/>
      <c r="S542" s="55"/>
      <c r="T542" s="55"/>
    </row>
    <row r="543" spans="1:22" ht="13.5" customHeight="1" thickBot="1" x14ac:dyDescent="0.2">
      <c r="A543" s="55"/>
      <c r="B543" s="55"/>
      <c r="C543" s="55"/>
      <c r="O543" s="55"/>
      <c r="P543" s="55"/>
      <c r="Q543" s="55"/>
      <c r="R543" s="55"/>
      <c r="S543" s="55"/>
      <c r="T543" s="55"/>
    </row>
    <row r="544" spans="1:22" ht="30" customHeight="1" thickBot="1" x14ac:dyDescent="0.2">
      <c r="A544" s="850" t="s">
        <v>122</v>
      </c>
      <c r="B544" s="851"/>
      <c r="C544" s="852"/>
      <c r="D544" s="876"/>
      <c r="E544" s="876"/>
      <c r="F544" s="890" t="s">
        <v>160</v>
      </c>
      <c r="G544" s="851"/>
      <c r="H544" s="852"/>
      <c r="I544" s="703"/>
      <c r="J544" s="703"/>
      <c r="K544" s="1022" t="s">
        <v>161</v>
      </c>
      <c r="L544" s="1022"/>
      <c r="M544" s="679" t="s">
        <v>162</v>
      </c>
      <c r="N544" s="679"/>
      <c r="O544" s="679"/>
      <c r="P544" s="703"/>
      <c r="Q544" s="704"/>
    </row>
    <row r="545" spans="1:22" ht="30" customHeight="1" thickBot="1" x14ac:dyDescent="0.2">
      <c r="A545" s="720" t="s">
        <v>1805</v>
      </c>
      <c r="B545" s="721"/>
      <c r="C545" s="721"/>
      <c r="D545" s="721"/>
      <c r="E545" s="721"/>
      <c r="F545" s="721"/>
      <c r="G545" s="721"/>
      <c r="H545" s="722"/>
      <c r="I545" s="873" t="s">
        <v>181</v>
      </c>
      <c r="J545" s="720" t="s">
        <v>1806</v>
      </c>
      <c r="K545" s="721"/>
      <c r="L545" s="721"/>
      <c r="M545" s="721"/>
      <c r="N545" s="721"/>
      <c r="O545" s="721"/>
      <c r="P545" s="721"/>
      <c r="Q545" s="722"/>
      <c r="R545" s="873" t="s">
        <v>1269</v>
      </c>
      <c r="S545" s="1046" t="s">
        <v>1807</v>
      </c>
      <c r="T545" s="1047"/>
      <c r="U545" s="1047"/>
      <c r="V545" s="1048"/>
    </row>
    <row r="546" spans="1:22" ht="27" customHeight="1" thickTop="1" x14ac:dyDescent="0.15">
      <c r="A546" s="717" t="s">
        <v>164</v>
      </c>
      <c r="B546" s="718"/>
      <c r="C546" s="718"/>
      <c r="D546" s="719"/>
      <c r="E546" s="1010"/>
      <c r="F546" s="1010"/>
      <c r="G546" s="1010"/>
      <c r="H546" s="1" t="s">
        <v>73</v>
      </c>
      <c r="I546" s="874"/>
      <c r="J546" s="717" t="s">
        <v>164</v>
      </c>
      <c r="K546" s="718"/>
      <c r="L546" s="718"/>
      <c r="M546" s="719"/>
      <c r="N546" s="1010"/>
      <c r="O546" s="1010"/>
      <c r="P546" s="1010"/>
      <c r="Q546" s="1" t="s">
        <v>73</v>
      </c>
      <c r="R546" s="874"/>
      <c r="S546" s="723">
        <f t="shared" ref="S546:S554" si="19">N546-E546</f>
        <v>0</v>
      </c>
      <c r="T546" s="724"/>
      <c r="U546" s="724"/>
      <c r="V546" s="340" t="s">
        <v>73</v>
      </c>
    </row>
    <row r="547" spans="1:22" ht="27" customHeight="1" x14ac:dyDescent="0.15">
      <c r="A547" s="709" t="s">
        <v>276</v>
      </c>
      <c r="B547" s="710"/>
      <c r="C547" s="710"/>
      <c r="D547" s="711"/>
      <c r="E547" s="708">
        <f>SUM(E548+E551+E554+E556+E557)</f>
        <v>0</v>
      </c>
      <c r="F547" s="708"/>
      <c r="G547" s="708"/>
      <c r="H547" s="2" t="s">
        <v>73</v>
      </c>
      <c r="I547" s="874"/>
      <c r="J547" s="709" t="s">
        <v>276</v>
      </c>
      <c r="K547" s="710"/>
      <c r="L547" s="710"/>
      <c r="M547" s="711"/>
      <c r="N547" s="708">
        <f>SUM(N548+N551+N554+N556+N557)</f>
        <v>0</v>
      </c>
      <c r="O547" s="708"/>
      <c r="P547" s="708"/>
      <c r="Q547" s="2" t="s">
        <v>73</v>
      </c>
      <c r="R547" s="874"/>
      <c r="S547" s="723">
        <f t="shared" si="19"/>
        <v>0</v>
      </c>
      <c r="T547" s="724"/>
      <c r="U547" s="724"/>
      <c r="V547" s="339" t="s">
        <v>73</v>
      </c>
    </row>
    <row r="548" spans="1:22" ht="27" customHeight="1" x14ac:dyDescent="0.15">
      <c r="A548" s="694" t="s">
        <v>271</v>
      </c>
      <c r="B548" s="695"/>
      <c r="C548" s="695"/>
      <c r="D548" s="696"/>
      <c r="E548" s="678"/>
      <c r="F548" s="678"/>
      <c r="G548" s="678"/>
      <c r="H548" s="2" t="s">
        <v>73</v>
      </c>
      <c r="I548" s="874"/>
      <c r="J548" s="694" t="s">
        <v>271</v>
      </c>
      <c r="K548" s="695"/>
      <c r="L548" s="695"/>
      <c r="M548" s="696"/>
      <c r="N548" s="678"/>
      <c r="O548" s="678"/>
      <c r="P548" s="678"/>
      <c r="Q548" s="2" t="s">
        <v>73</v>
      </c>
      <c r="R548" s="874"/>
      <c r="S548" s="723">
        <f t="shared" si="19"/>
        <v>0</v>
      </c>
      <c r="T548" s="724"/>
      <c r="U548" s="724"/>
      <c r="V548" s="339" t="s">
        <v>73</v>
      </c>
    </row>
    <row r="549" spans="1:22" ht="27" customHeight="1" x14ac:dyDescent="0.15">
      <c r="A549" s="714" t="s">
        <v>177</v>
      </c>
      <c r="B549" s="715"/>
      <c r="C549" s="715"/>
      <c r="D549" s="716"/>
      <c r="E549" s="678"/>
      <c r="F549" s="678"/>
      <c r="G549" s="678"/>
      <c r="H549" s="3" t="s">
        <v>179</v>
      </c>
      <c r="I549" s="874"/>
      <c r="J549" s="714" t="s">
        <v>177</v>
      </c>
      <c r="K549" s="715"/>
      <c r="L549" s="715"/>
      <c r="M549" s="716"/>
      <c r="N549" s="678"/>
      <c r="O549" s="678"/>
      <c r="P549" s="678"/>
      <c r="Q549" s="3" t="s">
        <v>179</v>
      </c>
      <c r="R549" s="874"/>
      <c r="S549" s="723">
        <f t="shared" si="19"/>
        <v>0</v>
      </c>
      <c r="T549" s="724"/>
      <c r="U549" s="724"/>
      <c r="V549" s="341" t="s">
        <v>179</v>
      </c>
    </row>
    <row r="550" spans="1:22" ht="24.95" customHeight="1" x14ac:dyDescent="0.15">
      <c r="A550" s="674" t="s">
        <v>1484</v>
      </c>
      <c r="B550" s="675"/>
      <c r="C550" s="675"/>
      <c r="D550" s="676"/>
      <c r="E550" s="677" t="str">
        <f>IF(E548=0,"",E548/E549)</f>
        <v/>
      </c>
      <c r="F550" s="677"/>
      <c r="G550" s="677"/>
      <c r="H550" s="339" t="s">
        <v>73</v>
      </c>
      <c r="I550" s="874"/>
      <c r="J550" s="674" t="s">
        <v>1484</v>
      </c>
      <c r="K550" s="675"/>
      <c r="L550" s="675"/>
      <c r="M550" s="676"/>
      <c r="N550" s="677" t="str">
        <f>IF(N548=0,"",N548/N549)</f>
        <v/>
      </c>
      <c r="O550" s="677"/>
      <c r="P550" s="677"/>
      <c r="Q550" s="339" t="s">
        <v>73</v>
      </c>
      <c r="R550" s="874"/>
      <c r="S550" s="680" t="s">
        <v>1268</v>
      </c>
      <c r="T550" s="681"/>
      <c r="U550" s="681"/>
      <c r="V550" s="682"/>
    </row>
    <row r="551" spans="1:22" ht="27" customHeight="1" x14ac:dyDescent="0.15">
      <c r="A551" s="694" t="s">
        <v>272</v>
      </c>
      <c r="B551" s="695"/>
      <c r="C551" s="695"/>
      <c r="D551" s="696"/>
      <c r="E551" s="678"/>
      <c r="F551" s="678"/>
      <c r="G551" s="678"/>
      <c r="H551" s="2" t="s">
        <v>73</v>
      </c>
      <c r="I551" s="874"/>
      <c r="J551" s="694" t="s">
        <v>272</v>
      </c>
      <c r="K551" s="695"/>
      <c r="L551" s="695"/>
      <c r="M551" s="696"/>
      <c r="N551" s="678"/>
      <c r="O551" s="678"/>
      <c r="P551" s="678"/>
      <c r="Q551" s="2" t="s">
        <v>73</v>
      </c>
      <c r="R551" s="874"/>
      <c r="S551" s="723">
        <f t="shared" si="19"/>
        <v>0</v>
      </c>
      <c r="T551" s="724"/>
      <c r="U551" s="724"/>
      <c r="V551" s="339" t="s">
        <v>73</v>
      </c>
    </row>
    <row r="552" spans="1:22" ht="27" customHeight="1" x14ac:dyDescent="0.15">
      <c r="A552" s="714" t="s">
        <v>178</v>
      </c>
      <c r="B552" s="715"/>
      <c r="C552" s="715"/>
      <c r="D552" s="716"/>
      <c r="E552" s="678"/>
      <c r="F552" s="678"/>
      <c r="G552" s="678"/>
      <c r="H552" s="3" t="s">
        <v>180</v>
      </c>
      <c r="I552" s="874"/>
      <c r="J552" s="714" t="s">
        <v>178</v>
      </c>
      <c r="K552" s="715"/>
      <c r="L552" s="715"/>
      <c r="M552" s="716"/>
      <c r="N552" s="678"/>
      <c r="O552" s="678"/>
      <c r="P552" s="678"/>
      <c r="Q552" s="3" t="s">
        <v>180</v>
      </c>
      <c r="R552" s="874"/>
      <c r="S552" s="723">
        <f t="shared" si="19"/>
        <v>0</v>
      </c>
      <c r="T552" s="724"/>
      <c r="U552" s="724"/>
      <c r="V552" s="341" t="s">
        <v>180</v>
      </c>
    </row>
    <row r="553" spans="1:22" ht="24.95" customHeight="1" x14ac:dyDescent="0.15">
      <c r="A553" s="674" t="s">
        <v>1486</v>
      </c>
      <c r="B553" s="675"/>
      <c r="C553" s="675"/>
      <c r="D553" s="676"/>
      <c r="E553" s="677" t="str">
        <f>IF(E551=0,"",E551/E552)</f>
        <v/>
      </c>
      <c r="F553" s="677"/>
      <c r="G553" s="677"/>
      <c r="H553" s="339" t="s">
        <v>73</v>
      </c>
      <c r="I553" s="874"/>
      <c r="J553" s="674" t="s">
        <v>1486</v>
      </c>
      <c r="K553" s="675"/>
      <c r="L553" s="675"/>
      <c r="M553" s="676"/>
      <c r="N553" s="677" t="str">
        <f>IF(N551=0,"",N551/N552)</f>
        <v/>
      </c>
      <c r="O553" s="677"/>
      <c r="P553" s="677"/>
      <c r="Q553" s="339" t="s">
        <v>73</v>
      </c>
      <c r="R553" s="874"/>
      <c r="S553" s="680" t="s">
        <v>1268</v>
      </c>
      <c r="T553" s="681"/>
      <c r="U553" s="681"/>
      <c r="V553" s="682"/>
    </row>
    <row r="554" spans="1:22" ht="27" customHeight="1" x14ac:dyDescent="0.15">
      <c r="A554" s="694" t="s">
        <v>273</v>
      </c>
      <c r="B554" s="695"/>
      <c r="C554" s="695"/>
      <c r="D554" s="696"/>
      <c r="E554" s="678"/>
      <c r="F554" s="678"/>
      <c r="G554" s="678"/>
      <c r="H554" s="2" t="s">
        <v>73</v>
      </c>
      <c r="I554" s="874"/>
      <c r="J554" s="694" t="s">
        <v>273</v>
      </c>
      <c r="K554" s="695"/>
      <c r="L554" s="695"/>
      <c r="M554" s="696"/>
      <c r="N554" s="678"/>
      <c r="O554" s="678"/>
      <c r="P554" s="678"/>
      <c r="Q554" s="2" t="s">
        <v>73</v>
      </c>
      <c r="R554" s="874"/>
      <c r="S554" s="723">
        <f t="shared" si="19"/>
        <v>0</v>
      </c>
      <c r="T554" s="724"/>
      <c r="U554" s="724"/>
      <c r="V554" s="339" t="s">
        <v>73</v>
      </c>
    </row>
    <row r="555" spans="1:22" ht="27" customHeight="1" x14ac:dyDescent="0.15">
      <c r="A555" s="714" t="s">
        <v>257</v>
      </c>
      <c r="B555" s="715"/>
      <c r="C555" s="715"/>
      <c r="D555" s="716"/>
      <c r="E555" s="697"/>
      <c r="F555" s="698"/>
      <c r="G555" s="698"/>
      <c r="H555" s="699"/>
      <c r="I555" s="874"/>
      <c r="J555" s="714" t="s">
        <v>257</v>
      </c>
      <c r="K555" s="715"/>
      <c r="L555" s="715"/>
      <c r="M555" s="716"/>
      <c r="N555" s="697"/>
      <c r="O555" s="698"/>
      <c r="P555" s="698"/>
      <c r="Q555" s="699"/>
      <c r="R555" s="874"/>
      <c r="S555" s="680" t="s">
        <v>1271</v>
      </c>
      <c r="T555" s="681"/>
      <c r="U555" s="681"/>
      <c r="V555" s="682"/>
    </row>
    <row r="556" spans="1:22" ht="27" customHeight="1" x14ac:dyDescent="0.15">
      <c r="A556" s="694" t="s">
        <v>274</v>
      </c>
      <c r="B556" s="695"/>
      <c r="C556" s="695"/>
      <c r="D556" s="696"/>
      <c r="E556" s="678"/>
      <c r="F556" s="678"/>
      <c r="G556" s="678"/>
      <c r="H556" s="2" t="s">
        <v>73</v>
      </c>
      <c r="I556" s="874"/>
      <c r="J556" s="694" t="s">
        <v>274</v>
      </c>
      <c r="K556" s="695"/>
      <c r="L556" s="695"/>
      <c r="M556" s="696"/>
      <c r="N556" s="678"/>
      <c r="O556" s="678"/>
      <c r="P556" s="678"/>
      <c r="Q556" s="2" t="s">
        <v>73</v>
      </c>
      <c r="R556" s="874"/>
      <c r="S556" s="781">
        <f>N556-E556</f>
        <v>0</v>
      </c>
      <c r="T556" s="677"/>
      <c r="U556" s="677"/>
      <c r="V556" s="339" t="s">
        <v>73</v>
      </c>
    </row>
    <row r="557" spans="1:22" ht="27" customHeight="1" x14ac:dyDescent="0.15">
      <c r="A557" s="694" t="s">
        <v>275</v>
      </c>
      <c r="B557" s="695"/>
      <c r="C557" s="695"/>
      <c r="D557" s="696"/>
      <c r="E557" s="678"/>
      <c r="F557" s="678"/>
      <c r="G557" s="678"/>
      <c r="H557" s="2" t="s">
        <v>73</v>
      </c>
      <c r="I557" s="874"/>
      <c r="J557" s="694" t="s">
        <v>275</v>
      </c>
      <c r="K557" s="695"/>
      <c r="L557" s="695"/>
      <c r="M557" s="696"/>
      <c r="N557" s="678"/>
      <c r="O557" s="678"/>
      <c r="P557" s="678"/>
      <c r="Q557" s="2" t="s">
        <v>73</v>
      </c>
      <c r="R557" s="874"/>
      <c r="S557" s="781">
        <f>N557-E557</f>
        <v>0</v>
      </c>
      <c r="T557" s="677"/>
      <c r="U557" s="677"/>
      <c r="V557" s="339" t="s">
        <v>73</v>
      </c>
    </row>
    <row r="558" spans="1:22" ht="27" customHeight="1" thickBot="1" x14ac:dyDescent="0.2">
      <c r="A558" s="671" t="s">
        <v>259</v>
      </c>
      <c r="B558" s="672"/>
      <c r="C558" s="672"/>
      <c r="D558" s="673"/>
      <c r="E558" s="1016"/>
      <c r="F558" s="1017"/>
      <c r="G558" s="1018"/>
      <c r="H558" s="4" t="s">
        <v>73</v>
      </c>
      <c r="I558" s="875"/>
      <c r="J558" s="705"/>
      <c r="K558" s="706"/>
      <c r="L558" s="706"/>
      <c r="M558" s="706"/>
      <c r="N558" s="706"/>
      <c r="O558" s="706"/>
      <c r="P558" s="706"/>
      <c r="Q558" s="707"/>
      <c r="R558" s="875"/>
      <c r="S558" s="342"/>
      <c r="T558" s="343"/>
      <c r="U558" s="343"/>
      <c r="V558" s="344"/>
    </row>
    <row r="559" spans="1:22" ht="27" customHeight="1" x14ac:dyDescent="0.15">
      <c r="B559" s="54" t="s">
        <v>594</v>
      </c>
      <c r="C559" s="96"/>
      <c r="D559" s="54"/>
      <c r="E559" s="455"/>
      <c r="F559" s="455"/>
      <c r="G559" s="455"/>
      <c r="H559" s="468"/>
      <c r="I559" s="468"/>
      <c r="J559" s="468"/>
      <c r="K559" s="453"/>
      <c r="L559" s="97"/>
      <c r="M559" s="404"/>
      <c r="N559" s="404"/>
      <c r="O559" s="404"/>
      <c r="P559" s="404"/>
      <c r="Q559" s="404"/>
      <c r="R559" s="404"/>
      <c r="S559" s="404"/>
      <c r="T559" s="404"/>
      <c r="U559" s="453"/>
    </row>
    <row r="560" spans="1:22" ht="27" customHeight="1" x14ac:dyDescent="0.15">
      <c r="B560" s="1025" t="s">
        <v>258</v>
      </c>
      <c r="C560" s="1026"/>
      <c r="D560" s="1026"/>
      <c r="E560" s="1026"/>
      <c r="F560" s="1026"/>
      <c r="G560" s="1026"/>
      <c r="H560" s="1026"/>
      <c r="I560" s="1026"/>
      <c r="J560" s="1026"/>
      <c r="K560" s="1026"/>
      <c r="L560" s="1026"/>
      <c r="M560" s="1026"/>
      <c r="N560" s="1026"/>
      <c r="O560" s="1026"/>
      <c r="P560" s="1026"/>
      <c r="Q560" s="1026"/>
      <c r="R560" s="1026"/>
      <c r="S560" s="1026"/>
      <c r="T560" s="1026"/>
      <c r="U560" s="1027"/>
      <c r="V560" s="473"/>
    </row>
    <row r="561" spans="1:22" ht="27" customHeight="1" x14ac:dyDescent="0.15">
      <c r="B561" s="1028"/>
      <c r="C561" s="1029"/>
      <c r="D561" s="1029"/>
      <c r="E561" s="1029"/>
      <c r="F561" s="1029"/>
      <c r="G561" s="1029"/>
      <c r="H561" s="1029"/>
      <c r="I561" s="1029"/>
      <c r="J561" s="1029"/>
      <c r="K561" s="1029"/>
      <c r="L561" s="1029"/>
      <c r="M561" s="1029"/>
      <c r="N561" s="1029"/>
      <c r="O561" s="1029"/>
      <c r="P561" s="1029"/>
      <c r="Q561" s="1029"/>
      <c r="R561" s="1029"/>
      <c r="S561" s="1029"/>
      <c r="T561" s="1029"/>
      <c r="U561" s="1030"/>
      <c r="V561" s="473"/>
    </row>
    <row r="562" spans="1:22" ht="27" customHeight="1" x14ac:dyDescent="0.15">
      <c r="A562" s="55"/>
      <c r="B562" s="55"/>
      <c r="C562" s="55"/>
      <c r="O562" s="55"/>
      <c r="P562" s="55"/>
      <c r="Q562" s="55"/>
      <c r="R562" s="55"/>
      <c r="S562" s="55"/>
      <c r="T562" s="55"/>
    </row>
    <row r="563" spans="1:22" ht="27" customHeight="1" x14ac:dyDescent="0.15">
      <c r="A563" s="55"/>
      <c r="B563" s="700" t="s">
        <v>607</v>
      </c>
      <c r="C563" s="701"/>
      <c r="D563" s="701"/>
      <c r="E563" s="701"/>
      <c r="F563" s="701"/>
      <c r="G563" s="702"/>
      <c r="I563" s="126"/>
      <c r="J563" s="126"/>
      <c r="K563" s="126"/>
      <c r="L563" s="126"/>
      <c r="M563" s="126"/>
      <c r="N563" s="127"/>
      <c r="O563" s="127"/>
      <c r="P563" s="36"/>
      <c r="Q563" s="55"/>
      <c r="R563" s="55"/>
      <c r="S563" s="55"/>
    </row>
    <row r="564" spans="1:22" ht="13.5" customHeight="1" thickBot="1" x14ac:dyDescent="0.2">
      <c r="A564" s="55"/>
      <c r="B564" s="55"/>
      <c r="C564" s="55"/>
      <c r="O564" s="55"/>
      <c r="P564" s="55"/>
      <c r="Q564" s="55"/>
      <c r="R564" s="55"/>
      <c r="S564" s="55"/>
      <c r="T564" s="55"/>
    </row>
    <row r="565" spans="1:22" ht="30" customHeight="1" thickBot="1" x14ac:dyDescent="0.2">
      <c r="A565" s="850" t="s">
        <v>122</v>
      </c>
      <c r="B565" s="851"/>
      <c r="C565" s="852"/>
      <c r="D565" s="876"/>
      <c r="E565" s="876"/>
      <c r="F565" s="890" t="s">
        <v>160</v>
      </c>
      <c r="G565" s="851"/>
      <c r="H565" s="852"/>
      <c r="I565" s="703"/>
      <c r="J565" s="703"/>
      <c r="K565" s="1022" t="s">
        <v>161</v>
      </c>
      <c r="L565" s="1022"/>
      <c r="M565" s="679" t="s">
        <v>162</v>
      </c>
      <c r="N565" s="679"/>
      <c r="O565" s="679"/>
      <c r="P565" s="703"/>
      <c r="Q565" s="704"/>
    </row>
    <row r="566" spans="1:22" ht="30" customHeight="1" thickBot="1" x14ac:dyDescent="0.2">
      <c r="A566" s="720" t="s">
        <v>1805</v>
      </c>
      <c r="B566" s="721"/>
      <c r="C566" s="721"/>
      <c r="D566" s="721"/>
      <c r="E566" s="721"/>
      <c r="F566" s="721"/>
      <c r="G566" s="721"/>
      <c r="H566" s="722"/>
      <c r="I566" s="873" t="s">
        <v>181</v>
      </c>
      <c r="J566" s="720" t="s">
        <v>1806</v>
      </c>
      <c r="K566" s="721"/>
      <c r="L566" s="721"/>
      <c r="M566" s="721"/>
      <c r="N566" s="721"/>
      <c r="O566" s="721"/>
      <c r="P566" s="721"/>
      <c r="Q566" s="722"/>
      <c r="R566" s="873" t="s">
        <v>1269</v>
      </c>
      <c r="S566" s="1046" t="s">
        <v>1807</v>
      </c>
      <c r="T566" s="1047"/>
      <c r="U566" s="1047"/>
      <c r="V566" s="1048"/>
    </row>
    <row r="567" spans="1:22" ht="27" customHeight="1" thickTop="1" x14ac:dyDescent="0.15">
      <c r="A567" s="1363" t="s">
        <v>164</v>
      </c>
      <c r="B567" s="1364"/>
      <c r="C567" s="1364"/>
      <c r="D567" s="1365"/>
      <c r="E567" s="1010"/>
      <c r="F567" s="1010"/>
      <c r="G567" s="1010"/>
      <c r="H567" s="1" t="s">
        <v>73</v>
      </c>
      <c r="I567" s="874"/>
      <c r="J567" s="1363" t="s">
        <v>164</v>
      </c>
      <c r="K567" s="1364"/>
      <c r="L567" s="1364"/>
      <c r="M567" s="1365"/>
      <c r="N567" s="1010"/>
      <c r="O567" s="1010"/>
      <c r="P567" s="1010"/>
      <c r="Q567" s="1" t="s">
        <v>73</v>
      </c>
      <c r="R567" s="874"/>
      <c r="S567" s="723">
        <f>N567-E567</f>
        <v>0</v>
      </c>
      <c r="T567" s="724"/>
      <c r="U567" s="724"/>
      <c r="V567" s="340" t="s">
        <v>73</v>
      </c>
    </row>
    <row r="568" spans="1:22" ht="27" customHeight="1" x14ac:dyDescent="0.15">
      <c r="A568" s="709" t="s">
        <v>276</v>
      </c>
      <c r="B568" s="710"/>
      <c r="C568" s="710"/>
      <c r="D568" s="711"/>
      <c r="E568" s="708">
        <f>SUM(E569+E572+E575+E577+E578)</f>
        <v>0</v>
      </c>
      <c r="F568" s="708"/>
      <c r="G568" s="708"/>
      <c r="H568" s="2" t="s">
        <v>73</v>
      </c>
      <c r="I568" s="874"/>
      <c r="J568" s="709" t="s">
        <v>276</v>
      </c>
      <c r="K568" s="710"/>
      <c r="L568" s="710"/>
      <c r="M568" s="711"/>
      <c r="N568" s="708">
        <f>SUM(N569+N572+N575+N577+N578)</f>
        <v>0</v>
      </c>
      <c r="O568" s="708"/>
      <c r="P568" s="708"/>
      <c r="Q568" s="2" t="s">
        <v>73</v>
      </c>
      <c r="R568" s="874"/>
      <c r="S568" s="723">
        <f>N568-E568</f>
        <v>0</v>
      </c>
      <c r="T568" s="724"/>
      <c r="U568" s="724"/>
      <c r="V568" s="339" t="s">
        <v>73</v>
      </c>
    </row>
    <row r="569" spans="1:22" ht="27" customHeight="1" x14ac:dyDescent="0.15">
      <c r="A569" s="694" t="s">
        <v>271</v>
      </c>
      <c r="B569" s="695"/>
      <c r="C569" s="695"/>
      <c r="D569" s="696"/>
      <c r="E569" s="678"/>
      <c r="F569" s="678"/>
      <c r="G569" s="678"/>
      <c r="H569" s="2" t="s">
        <v>73</v>
      </c>
      <c r="I569" s="874"/>
      <c r="J569" s="694" t="s">
        <v>271</v>
      </c>
      <c r="K569" s="695"/>
      <c r="L569" s="695"/>
      <c r="M569" s="696"/>
      <c r="N569" s="678"/>
      <c r="O569" s="678"/>
      <c r="P569" s="678"/>
      <c r="Q569" s="2" t="s">
        <v>73</v>
      </c>
      <c r="R569" s="874"/>
      <c r="S569" s="723">
        <f>N569-E569</f>
        <v>0</v>
      </c>
      <c r="T569" s="724"/>
      <c r="U569" s="724"/>
      <c r="V569" s="339" t="s">
        <v>73</v>
      </c>
    </row>
    <row r="570" spans="1:22" ht="27" customHeight="1" x14ac:dyDescent="0.15">
      <c r="A570" s="714" t="s">
        <v>177</v>
      </c>
      <c r="B570" s="715"/>
      <c r="C570" s="715"/>
      <c r="D570" s="716"/>
      <c r="E570" s="678"/>
      <c r="F570" s="678"/>
      <c r="G570" s="678"/>
      <c r="H570" s="3" t="s">
        <v>179</v>
      </c>
      <c r="I570" s="874"/>
      <c r="J570" s="714" t="s">
        <v>177</v>
      </c>
      <c r="K570" s="715"/>
      <c r="L570" s="715"/>
      <c r="M570" s="716"/>
      <c r="N570" s="678"/>
      <c r="O570" s="678"/>
      <c r="P570" s="678"/>
      <c r="Q570" s="3" t="s">
        <v>179</v>
      </c>
      <c r="R570" s="874"/>
      <c r="S570" s="723">
        <f>N570-E570</f>
        <v>0</v>
      </c>
      <c r="T570" s="724"/>
      <c r="U570" s="724"/>
      <c r="V570" s="341" t="s">
        <v>179</v>
      </c>
    </row>
    <row r="571" spans="1:22" ht="24.95" customHeight="1" x14ac:dyDescent="0.15">
      <c r="A571" s="674" t="s">
        <v>1484</v>
      </c>
      <c r="B571" s="675"/>
      <c r="C571" s="675"/>
      <c r="D571" s="676"/>
      <c r="E571" s="677" t="str">
        <f>IF(E569=0,"",E569/E570)</f>
        <v/>
      </c>
      <c r="F571" s="677"/>
      <c r="G571" s="677"/>
      <c r="H571" s="339" t="s">
        <v>73</v>
      </c>
      <c r="I571" s="874"/>
      <c r="J571" s="674" t="s">
        <v>1484</v>
      </c>
      <c r="K571" s="675"/>
      <c r="L571" s="675"/>
      <c r="M571" s="676"/>
      <c r="N571" s="677" t="str">
        <f>IF(N569=0,"",N569/N570)</f>
        <v/>
      </c>
      <c r="O571" s="677"/>
      <c r="P571" s="677"/>
      <c r="Q571" s="339" t="s">
        <v>73</v>
      </c>
      <c r="R571" s="874"/>
      <c r="S571" s="680" t="s">
        <v>1487</v>
      </c>
      <c r="T571" s="681"/>
      <c r="U571" s="681"/>
      <c r="V571" s="682"/>
    </row>
    <row r="572" spans="1:22" ht="27" customHeight="1" x14ac:dyDescent="0.15">
      <c r="A572" s="694" t="s">
        <v>272</v>
      </c>
      <c r="B572" s="695"/>
      <c r="C572" s="695"/>
      <c r="D572" s="696"/>
      <c r="E572" s="678"/>
      <c r="F572" s="678"/>
      <c r="G572" s="678"/>
      <c r="H572" s="2" t="s">
        <v>73</v>
      </c>
      <c r="I572" s="874"/>
      <c r="J572" s="694" t="s">
        <v>272</v>
      </c>
      <c r="K572" s="695"/>
      <c r="L572" s="695"/>
      <c r="M572" s="696"/>
      <c r="N572" s="678"/>
      <c r="O572" s="678"/>
      <c r="P572" s="678"/>
      <c r="Q572" s="2" t="s">
        <v>73</v>
      </c>
      <c r="R572" s="874"/>
      <c r="S572" s="723">
        <f>N572-E572</f>
        <v>0</v>
      </c>
      <c r="T572" s="724"/>
      <c r="U572" s="724"/>
      <c r="V572" s="339" t="s">
        <v>73</v>
      </c>
    </row>
    <row r="573" spans="1:22" ht="27" customHeight="1" x14ac:dyDescent="0.15">
      <c r="A573" s="714" t="s">
        <v>178</v>
      </c>
      <c r="B573" s="715"/>
      <c r="C573" s="715"/>
      <c r="D573" s="716"/>
      <c r="E573" s="678"/>
      <c r="F573" s="678"/>
      <c r="G573" s="678"/>
      <c r="H573" s="3" t="s">
        <v>180</v>
      </c>
      <c r="I573" s="874"/>
      <c r="J573" s="714" t="s">
        <v>178</v>
      </c>
      <c r="K573" s="715"/>
      <c r="L573" s="715"/>
      <c r="M573" s="716"/>
      <c r="N573" s="678"/>
      <c r="O573" s="678"/>
      <c r="P573" s="678"/>
      <c r="Q573" s="3" t="s">
        <v>180</v>
      </c>
      <c r="R573" s="874"/>
      <c r="S573" s="723">
        <f>N573-E573</f>
        <v>0</v>
      </c>
      <c r="T573" s="724"/>
      <c r="U573" s="724"/>
      <c r="V573" s="341" t="s">
        <v>180</v>
      </c>
    </row>
    <row r="574" spans="1:22" ht="24.95" customHeight="1" x14ac:dyDescent="0.15">
      <c r="A574" s="674" t="s">
        <v>1486</v>
      </c>
      <c r="B574" s="675"/>
      <c r="C574" s="675"/>
      <c r="D574" s="676"/>
      <c r="E574" s="677" t="str">
        <f>IF(E572=0,"",E572/E573)</f>
        <v/>
      </c>
      <c r="F574" s="677"/>
      <c r="G574" s="677"/>
      <c r="H574" s="339" t="s">
        <v>73</v>
      </c>
      <c r="I574" s="874"/>
      <c r="J574" s="674" t="s">
        <v>1486</v>
      </c>
      <c r="K574" s="675"/>
      <c r="L574" s="675"/>
      <c r="M574" s="676"/>
      <c r="N574" s="677" t="str">
        <f>IF(N572=0,"",N572/N573)</f>
        <v/>
      </c>
      <c r="O574" s="677"/>
      <c r="P574" s="677"/>
      <c r="Q574" s="339" t="s">
        <v>73</v>
      </c>
      <c r="R574" s="874"/>
      <c r="S574" s="680" t="s">
        <v>1487</v>
      </c>
      <c r="T574" s="681"/>
      <c r="U574" s="681"/>
      <c r="V574" s="682"/>
    </row>
    <row r="575" spans="1:22" ht="27" customHeight="1" x14ac:dyDescent="0.15">
      <c r="A575" s="694" t="s">
        <v>273</v>
      </c>
      <c r="B575" s="695"/>
      <c r="C575" s="695"/>
      <c r="D575" s="696"/>
      <c r="E575" s="678"/>
      <c r="F575" s="678"/>
      <c r="G575" s="678"/>
      <c r="H575" s="2" t="s">
        <v>73</v>
      </c>
      <c r="I575" s="874"/>
      <c r="J575" s="694" t="s">
        <v>273</v>
      </c>
      <c r="K575" s="695"/>
      <c r="L575" s="695"/>
      <c r="M575" s="696"/>
      <c r="N575" s="678"/>
      <c r="O575" s="678"/>
      <c r="P575" s="678"/>
      <c r="Q575" s="2" t="s">
        <v>73</v>
      </c>
      <c r="R575" s="874"/>
      <c r="S575" s="723">
        <f>N575-E575</f>
        <v>0</v>
      </c>
      <c r="T575" s="724"/>
      <c r="U575" s="724"/>
      <c r="V575" s="339" t="s">
        <v>73</v>
      </c>
    </row>
    <row r="576" spans="1:22" ht="27" customHeight="1" x14ac:dyDescent="0.15">
      <c r="A576" s="714" t="s">
        <v>257</v>
      </c>
      <c r="B576" s="715"/>
      <c r="C576" s="715"/>
      <c r="D576" s="716"/>
      <c r="E576" s="697"/>
      <c r="F576" s="698"/>
      <c r="G576" s="698"/>
      <c r="H576" s="699"/>
      <c r="I576" s="874"/>
      <c r="J576" s="714" t="s">
        <v>257</v>
      </c>
      <c r="K576" s="715"/>
      <c r="L576" s="715"/>
      <c r="M576" s="716"/>
      <c r="N576" s="697"/>
      <c r="O576" s="698"/>
      <c r="P576" s="698"/>
      <c r="Q576" s="699"/>
      <c r="R576" s="874"/>
      <c r="S576" s="680" t="s">
        <v>1487</v>
      </c>
      <c r="T576" s="681"/>
      <c r="U576" s="681"/>
      <c r="V576" s="682"/>
    </row>
    <row r="577" spans="1:22" ht="27" customHeight="1" x14ac:dyDescent="0.15">
      <c r="A577" s="694" t="s">
        <v>274</v>
      </c>
      <c r="B577" s="695"/>
      <c r="C577" s="695"/>
      <c r="D577" s="696"/>
      <c r="E577" s="678"/>
      <c r="F577" s="678"/>
      <c r="G577" s="678"/>
      <c r="H577" s="2" t="s">
        <v>73</v>
      </c>
      <c r="I577" s="874"/>
      <c r="J577" s="694" t="s">
        <v>274</v>
      </c>
      <c r="K577" s="695"/>
      <c r="L577" s="695"/>
      <c r="M577" s="696"/>
      <c r="N577" s="678"/>
      <c r="O577" s="678"/>
      <c r="P577" s="678"/>
      <c r="Q577" s="2" t="s">
        <v>73</v>
      </c>
      <c r="R577" s="874"/>
      <c r="S577" s="781">
        <f>N577-E577</f>
        <v>0</v>
      </c>
      <c r="T577" s="677"/>
      <c r="U577" s="677"/>
      <c r="V577" s="339" t="s">
        <v>73</v>
      </c>
    </row>
    <row r="578" spans="1:22" ht="27" customHeight="1" x14ac:dyDescent="0.15">
      <c r="A578" s="694" t="s">
        <v>275</v>
      </c>
      <c r="B578" s="695"/>
      <c r="C578" s="695"/>
      <c r="D578" s="696"/>
      <c r="E578" s="678"/>
      <c r="F578" s="678"/>
      <c r="G578" s="678"/>
      <c r="H578" s="2" t="s">
        <v>73</v>
      </c>
      <c r="I578" s="874"/>
      <c r="J578" s="694" t="s">
        <v>275</v>
      </c>
      <c r="K578" s="695"/>
      <c r="L578" s="695"/>
      <c r="M578" s="696"/>
      <c r="N578" s="678"/>
      <c r="O578" s="678"/>
      <c r="P578" s="678"/>
      <c r="Q578" s="2" t="s">
        <v>73</v>
      </c>
      <c r="R578" s="874"/>
      <c r="S578" s="781">
        <f>N578-E578</f>
        <v>0</v>
      </c>
      <c r="T578" s="677"/>
      <c r="U578" s="677"/>
      <c r="V578" s="339" t="s">
        <v>73</v>
      </c>
    </row>
    <row r="579" spans="1:22" ht="27" customHeight="1" thickBot="1" x14ac:dyDescent="0.2">
      <c r="A579" s="671" t="s">
        <v>259</v>
      </c>
      <c r="B579" s="672"/>
      <c r="C579" s="672"/>
      <c r="D579" s="673"/>
      <c r="E579" s="1016"/>
      <c r="F579" s="1017"/>
      <c r="G579" s="1018"/>
      <c r="H579" s="4" t="s">
        <v>73</v>
      </c>
      <c r="I579" s="875"/>
      <c r="J579" s="705"/>
      <c r="K579" s="706"/>
      <c r="L579" s="706"/>
      <c r="M579" s="706"/>
      <c r="N579" s="706"/>
      <c r="O579" s="706"/>
      <c r="P579" s="706"/>
      <c r="Q579" s="707"/>
      <c r="R579" s="875"/>
      <c r="S579" s="342"/>
      <c r="T579" s="343"/>
      <c r="U579" s="343"/>
      <c r="V579" s="344"/>
    </row>
    <row r="580" spans="1:22" ht="27" customHeight="1" x14ac:dyDescent="0.15">
      <c r="A580" s="55"/>
      <c r="B580" s="55"/>
      <c r="C580" s="55"/>
      <c r="O580" s="55"/>
      <c r="P580" s="55"/>
      <c r="Q580" s="55"/>
      <c r="R580" s="55"/>
      <c r="S580" s="55"/>
    </row>
    <row r="581" spans="1:22" ht="27" customHeight="1" x14ac:dyDescent="0.15">
      <c r="A581" s="55"/>
      <c r="B581" s="700" t="s">
        <v>608</v>
      </c>
      <c r="C581" s="701"/>
      <c r="D581" s="701"/>
      <c r="E581" s="701"/>
      <c r="F581" s="701"/>
      <c r="G581" s="702"/>
      <c r="I581" s="126"/>
      <c r="J581" s="126"/>
      <c r="K581" s="126"/>
      <c r="L581" s="126"/>
      <c r="M581" s="126"/>
      <c r="N581" s="127"/>
      <c r="O581" s="127"/>
      <c r="P581" s="36"/>
      <c r="Q581" s="55"/>
      <c r="R581" s="55"/>
      <c r="S581" s="55"/>
    </row>
    <row r="582" spans="1:22" ht="13.5" customHeight="1" thickBot="1" x14ac:dyDescent="0.2">
      <c r="A582" s="55"/>
      <c r="B582" s="55"/>
      <c r="C582" s="55"/>
      <c r="O582" s="55"/>
      <c r="P582" s="55"/>
      <c r="Q582" s="55"/>
      <c r="R582" s="55"/>
      <c r="S582" s="55"/>
      <c r="T582" s="55"/>
    </row>
    <row r="583" spans="1:22" ht="30" customHeight="1" thickBot="1" x14ac:dyDescent="0.2">
      <c r="A583" s="850" t="s">
        <v>122</v>
      </c>
      <c r="B583" s="851"/>
      <c r="C583" s="852"/>
      <c r="D583" s="876"/>
      <c r="E583" s="876"/>
      <c r="F583" s="890" t="s">
        <v>160</v>
      </c>
      <c r="G583" s="851"/>
      <c r="H583" s="852"/>
      <c r="I583" s="703"/>
      <c r="J583" s="703"/>
      <c r="K583" s="1022" t="s">
        <v>161</v>
      </c>
      <c r="L583" s="1022"/>
      <c r="M583" s="679" t="s">
        <v>162</v>
      </c>
      <c r="N583" s="679"/>
      <c r="O583" s="679"/>
      <c r="P583" s="703"/>
      <c r="Q583" s="704"/>
    </row>
    <row r="584" spans="1:22" ht="30" customHeight="1" thickBot="1" x14ac:dyDescent="0.2">
      <c r="A584" s="720" t="s">
        <v>1805</v>
      </c>
      <c r="B584" s="721"/>
      <c r="C584" s="721"/>
      <c r="D584" s="721"/>
      <c r="E584" s="721"/>
      <c r="F584" s="721"/>
      <c r="G584" s="721"/>
      <c r="H584" s="722"/>
      <c r="I584" s="873" t="s">
        <v>181</v>
      </c>
      <c r="J584" s="720" t="s">
        <v>1806</v>
      </c>
      <c r="K584" s="721"/>
      <c r="L584" s="721"/>
      <c r="M584" s="721"/>
      <c r="N584" s="721"/>
      <c r="O584" s="721"/>
      <c r="P584" s="721"/>
      <c r="Q584" s="722"/>
      <c r="R584" s="873" t="s">
        <v>1269</v>
      </c>
      <c r="S584" s="1046" t="s">
        <v>1807</v>
      </c>
      <c r="T584" s="1047"/>
      <c r="U584" s="1047"/>
      <c r="V584" s="1048"/>
    </row>
    <row r="585" spans="1:22" ht="27" customHeight="1" thickTop="1" x14ac:dyDescent="0.15">
      <c r="A585" s="717" t="s">
        <v>164</v>
      </c>
      <c r="B585" s="718"/>
      <c r="C585" s="718"/>
      <c r="D585" s="719"/>
      <c r="E585" s="1010"/>
      <c r="F585" s="1010"/>
      <c r="G585" s="1010"/>
      <c r="H585" s="1" t="s">
        <v>73</v>
      </c>
      <c r="I585" s="874"/>
      <c r="J585" s="717" t="s">
        <v>164</v>
      </c>
      <c r="K585" s="718"/>
      <c r="L585" s="718"/>
      <c r="M585" s="719"/>
      <c r="N585" s="1010"/>
      <c r="O585" s="1010"/>
      <c r="P585" s="1010"/>
      <c r="Q585" s="1" t="s">
        <v>73</v>
      </c>
      <c r="R585" s="874"/>
      <c r="S585" s="723">
        <f t="shared" ref="S585:S591" si="20">N585-E585</f>
        <v>0</v>
      </c>
      <c r="T585" s="724"/>
      <c r="U585" s="724"/>
      <c r="V585" s="340" t="s">
        <v>73</v>
      </c>
    </row>
    <row r="586" spans="1:22" ht="27" customHeight="1" x14ac:dyDescent="0.15">
      <c r="A586" s="709" t="s">
        <v>276</v>
      </c>
      <c r="B586" s="710"/>
      <c r="C586" s="710"/>
      <c r="D586" s="711"/>
      <c r="E586" s="708">
        <f>SUM(E587+E590+E593+E595+E596)</f>
        <v>0</v>
      </c>
      <c r="F586" s="708"/>
      <c r="G586" s="708"/>
      <c r="H586" s="2" t="s">
        <v>73</v>
      </c>
      <c r="I586" s="874"/>
      <c r="J586" s="709" t="s">
        <v>276</v>
      </c>
      <c r="K586" s="710"/>
      <c r="L586" s="710"/>
      <c r="M586" s="711"/>
      <c r="N586" s="708">
        <f>SUM(N587+N590+N593+N595+N596)</f>
        <v>0</v>
      </c>
      <c r="O586" s="708"/>
      <c r="P586" s="708"/>
      <c r="Q586" s="2" t="s">
        <v>73</v>
      </c>
      <c r="R586" s="874"/>
      <c r="S586" s="723">
        <f t="shared" si="20"/>
        <v>0</v>
      </c>
      <c r="T586" s="724"/>
      <c r="U586" s="724"/>
      <c r="V586" s="339" t="s">
        <v>73</v>
      </c>
    </row>
    <row r="587" spans="1:22" ht="27" customHeight="1" x14ac:dyDescent="0.15">
      <c r="A587" s="694" t="s">
        <v>271</v>
      </c>
      <c r="B587" s="695"/>
      <c r="C587" s="695"/>
      <c r="D587" s="696"/>
      <c r="E587" s="678"/>
      <c r="F587" s="678"/>
      <c r="G587" s="678"/>
      <c r="H587" s="2" t="s">
        <v>73</v>
      </c>
      <c r="I587" s="874"/>
      <c r="J587" s="694" t="s">
        <v>271</v>
      </c>
      <c r="K587" s="695"/>
      <c r="L587" s="695"/>
      <c r="M587" s="696"/>
      <c r="N587" s="678"/>
      <c r="O587" s="678"/>
      <c r="P587" s="678"/>
      <c r="Q587" s="2" t="s">
        <v>73</v>
      </c>
      <c r="R587" s="874"/>
      <c r="S587" s="723">
        <f t="shared" si="20"/>
        <v>0</v>
      </c>
      <c r="T587" s="724"/>
      <c r="U587" s="724"/>
      <c r="V587" s="339" t="s">
        <v>73</v>
      </c>
    </row>
    <row r="588" spans="1:22" ht="27" customHeight="1" x14ac:dyDescent="0.15">
      <c r="A588" s="714" t="s">
        <v>177</v>
      </c>
      <c r="B588" s="715"/>
      <c r="C588" s="715"/>
      <c r="D588" s="716"/>
      <c r="E588" s="678"/>
      <c r="F588" s="678"/>
      <c r="G588" s="678"/>
      <c r="H588" s="3" t="s">
        <v>179</v>
      </c>
      <c r="I588" s="874"/>
      <c r="J588" s="714" t="s">
        <v>177</v>
      </c>
      <c r="K588" s="715"/>
      <c r="L588" s="715"/>
      <c r="M588" s="716"/>
      <c r="N588" s="678"/>
      <c r="O588" s="678"/>
      <c r="P588" s="678"/>
      <c r="Q588" s="3" t="s">
        <v>179</v>
      </c>
      <c r="R588" s="874"/>
      <c r="S588" s="723">
        <f t="shared" si="20"/>
        <v>0</v>
      </c>
      <c r="T588" s="724"/>
      <c r="U588" s="724"/>
      <c r="V588" s="341" t="s">
        <v>179</v>
      </c>
    </row>
    <row r="589" spans="1:22" ht="24.95" customHeight="1" x14ac:dyDescent="0.15">
      <c r="A589" s="674" t="s">
        <v>1484</v>
      </c>
      <c r="B589" s="675"/>
      <c r="C589" s="675"/>
      <c r="D589" s="676"/>
      <c r="E589" s="677" t="str">
        <f>IF(E587=0,"",E587/E588)</f>
        <v/>
      </c>
      <c r="F589" s="677"/>
      <c r="G589" s="677"/>
      <c r="H589" s="339" t="s">
        <v>73</v>
      </c>
      <c r="I589" s="874"/>
      <c r="J589" s="674" t="s">
        <v>1484</v>
      </c>
      <c r="K589" s="675"/>
      <c r="L589" s="675"/>
      <c r="M589" s="676"/>
      <c r="N589" s="677" t="str">
        <f>IF(N587=0,"",N587/N588)</f>
        <v/>
      </c>
      <c r="O589" s="677"/>
      <c r="P589" s="677"/>
      <c r="Q589" s="339" t="s">
        <v>73</v>
      </c>
      <c r="R589" s="874"/>
      <c r="S589" s="680" t="s">
        <v>1268</v>
      </c>
      <c r="T589" s="681"/>
      <c r="U589" s="681"/>
      <c r="V589" s="682"/>
    </row>
    <row r="590" spans="1:22" ht="27" customHeight="1" x14ac:dyDescent="0.15">
      <c r="A590" s="694" t="s">
        <v>272</v>
      </c>
      <c r="B590" s="695"/>
      <c r="C590" s="695"/>
      <c r="D590" s="696"/>
      <c r="E590" s="678"/>
      <c r="F590" s="678"/>
      <c r="G590" s="678"/>
      <c r="H590" s="2" t="s">
        <v>73</v>
      </c>
      <c r="I590" s="874"/>
      <c r="J590" s="694" t="s">
        <v>272</v>
      </c>
      <c r="K590" s="695"/>
      <c r="L590" s="695"/>
      <c r="M590" s="696"/>
      <c r="N590" s="678"/>
      <c r="O590" s="678"/>
      <c r="P590" s="678"/>
      <c r="Q590" s="2" t="s">
        <v>73</v>
      </c>
      <c r="R590" s="874"/>
      <c r="S590" s="723">
        <f t="shared" si="20"/>
        <v>0</v>
      </c>
      <c r="T590" s="724"/>
      <c r="U590" s="724"/>
      <c r="V590" s="339" t="s">
        <v>73</v>
      </c>
    </row>
    <row r="591" spans="1:22" ht="27" customHeight="1" x14ac:dyDescent="0.15">
      <c r="A591" s="714" t="s">
        <v>178</v>
      </c>
      <c r="B591" s="715"/>
      <c r="C591" s="715"/>
      <c r="D591" s="716"/>
      <c r="E591" s="678"/>
      <c r="F591" s="678"/>
      <c r="G591" s="678"/>
      <c r="H591" s="3" t="s">
        <v>180</v>
      </c>
      <c r="I591" s="874"/>
      <c r="J591" s="714" t="s">
        <v>178</v>
      </c>
      <c r="K591" s="715"/>
      <c r="L591" s="715"/>
      <c r="M591" s="716"/>
      <c r="N591" s="678"/>
      <c r="O591" s="678"/>
      <c r="P591" s="678"/>
      <c r="Q591" s="3" t="s">
        <v>180</v>
      </c>
      <c r="R591" s="874"/>
      <c r="S591" s="723">
        <f t="shared" si="20"/>
        <v>0</v>
      </c>
      <c r="T591" s="724"/>
      <c r="U591" s="724"/>
      <c r="V591" s="341" t="s">
        <v>180</v>
      </c>
    </row>
    <row r="592" spans="1:22" ht="24.95" customHeight="1" x14ac:dyDescent="0.15">
      <c r="A592" s="674" t="s">
        <v>1486</v>
      </c>
      <c r="B592" s="675"/>
      <c r="C592" s="675"/>
      <c r="D592" s="676"/>
      <c r="E592" s="677" t="str">
        <f>IF(E590=0,"",E590/E591)</f>
        <v/>
      </c>
      <c r="F592" s="677"/>
      <c r="G592" s="677"/>
      <c r="H592" s="339" t="s">
        <v>73</v>
      </c>
      <c r="I592" s="874"/>
      <c r="J592" s="674" t="s">
        <v>1486</v>
      </c>
      <c r="K592" s="675"/>
      <c r="L592" s="675"/>
      <c r="M592" s="676"/>
      <c r="N592" s="677" t="str">
        <f>IF(N590=0,"",N590/N591)</f>
        <v/>
      </c>
      <c r="O592" s="677"/>
      <c r="P592" s="677"/>
      <c r="Q592" s="339" t="s">
        <v>73</v>
      </c>
      <c r="R592" s="874"/>
      <c r="S592" s="1384" t="s">
        <v>1485</v>
      </c>
      <c r="T592" s="1385"/>
      <c r="U592" s="1385"/>
      <c r="V592" s="339" t="s">
        <v>73</v>
      </c>
    </row>
    <row r="593" spans="1:22" ht="27" customHeight="1" x14ac:dyDescent="0.15">
      <c r="A593" s="694" t="s">
        <v>273</v>
      </c>
      <c r="B593" s="695"/>
      <c r="C593" s="695"/>
      <c r="D593" s="696"/>
      <c r="E593" s="678"/>
      <c r="F593" s="678"/>
      <c r="G593" s="678"/>
      <c r="H593" s="2" t="s">
        <v>73</v>
      </c>
      <c r="I593" s="874"/>
      <c r="J593" s="694" t="s">
        <v>273</v>
      </c>
      <c r="K593" s="695"/>
      <c r="L593" s="695"/>
      <c r="M593" s="696"/>
      <c r="N593" s="678"/>
      <c r="O593" s="678"/>
      <c r="P593" s="678"/>
      <c r="Q593" s="2" t="s">
        <v>73</v>
      </c>
      <c r="R593" s="874"/>
      <c r="S593" s="680" t="s">
        <v>1268</v>
      </c>
      <c r="T593" s="681"/>
      <c r="U593" s="681"/>
      <c r="V593" s="682"/>
    </row>
    <row r="594" spans="1:22" ht="27" customHeight="1" x14ac:dyDescent="0.15">
      <c r="A594" s="714" t="s">
        <v>257</v>
      </c>
      <c r="B594" s="715"/>
      <c r="C594" s="715"/>
      <c r="D594" s="716"/>
      <c r="E594" s="697"/>
      <c r="F594" s="698"/>
      <c r="G594" s="698"/>
      <c r="H594" s="699"/>
      <c r="I594" s="874"/>
      <c r="J594" s="714" t="s">
        <v>257</v>
      </c>
      <c r="K594" s="715"/>
      <c r="L594" s="715"/>
      <c r="M594" s="716"/>
      <c r="N594" s="697"/>
      <c r="O594" s="698"/>
      <c r="P594" s="698"/>
      <c r="Q594" s="699"/>
      <c r="R594" s="874"/>
      <c r="S594" s="680" t="s">
        <v>1272</v>
      </c>
      <c r="T594" s="681"/>
      <c r="U594" s="681"/>
      <c r="V594" s="682"/>
    </row>
    <row r="595" spans="1:22" ht="27" customHeight="1" x14ac:dyDescent="0.15">
      <c r="A595" s="694" t="s">
        <v>274</v>
      </c>
      <c r="B595" s="695"/>
      <c r="C595" s="695"/>
      <c r="D595" s="696"/>
      <c r="E595" s="678"/>
      <c r="F595" s="678"/>
      <c r="G595" s="678"/>
      <c r="H595" s="2" t="s">
        <v>73</v>
      </c>
      <c r="I595" s="874"/>
      <c r="J595" s="694" t="s">
        <v>274</v>
      </c>
      <c r="K595" s="695"/>
      <c r="L595" s="695"/>
      <c r="M595" s="696"/>
      <c r="N595" s="678"/>
      <c r="O595" s="678"/>
      <c r="P595" s="678"/>
      <c r="Q595" s="2" t="s">
        <v>73</v>
      </c>
      <c r="R595" s="874"/>
      <c r="S595" s="781">
        <f>N595-E595</f>
        <v>0</v>
      </c>
      <c r="T595" s="677"/>
      <c r="U595" s="677"/>
      <c r="V595" s="339" t="s">
        <v>73</v>
      </c>
    </row>
    <row r="596" spans="1:22" ht="27" customHeight="1" x14ac:dyDescent="0.15">
      <c r="A596" s="694" t="s">
        <v>275</v>
      </c>
      <c r="B596" s="695"/>
      <c r="C596" s="695"/>
      <c r="D596" s="696"/>
      <c r="E596" s="678"/>
      <c r="F596" s="678"/>
      <c r="G596" s="678"/>
      <c r="H596" s="2" t="s">
        <v>73</v>
      </c>
      <c r="I596" s="874"/>
      <c r="J596" s="694" t="s">
        <v>275</v>
      </c>
      <c r="K596" s="695"/>
      <c r="L596" s="695"/>
      <c r="M596" s="696"/>
      <c r="N596" s="678"/>
      <c r="O596" s="678"/>
      <c r="P596" s="678"/>
      <c r="Q596" s="2" t="s">
        <v>73</v>
      </c>
      <c r="R596" s="874"/>
      <c r="S596" s="781">
        <f>N596-E596</f>
        <v>0</v>
      </c>
      <c r="T596" s="677"/>
      <c r="U596" s="677"/>
      <c r="V596" s="339" t="s">
        <v>73</v>
      </c>
    </row>
    <row r="597" spans="1:22" ht="27" customHeight="1" thickBot="1" x14ac:dyDescent="0.2">
      <c r="A597" s="671" t="s">
        <v>259</v>
      </c>
      <c r="B597" s="672"/>
      <c r="C597" s="672"/>
      <c r="D597" s="673"/>
      <c r="E597" s="1016"/>
      <c r="F597" s="1017"/>
      <c r="G597" s="1018"/>
      <c r="H597" s="4" t="s">
        <v>73</v>
      </c>
      <c r="I597" s="875"/>
      <c r="J597" s="705"/>
      <c r="K597" s="706"/>
      <c r="L597" s="706"/>
      <c r="M597" s="706"/>
      <c r="N597" s="706"/>
      <c r="O597" s="706"/>
      <c r="P597" s="706"/>
      <c r="Q597" s="707"/>
      <c r="R597" s="875"/>
      <c r="S597" s="342"/>
      <c r="T597" s="343"/>
      <c r="U597" s="343"/>
      <c r="V597" s="344"/>
    </row>
    <row r="598" spans="1:22" ht="27" customHeight="1" x14ac:dyDescent="0.15">
      <c r="B598" s="54" t="s">
        <v>593</v>
      </c>
      <c r="C598" s="96"/>
      <c r="D598" s="54"/>
      <c r="E598" s="455"/>
      <c r="F598" s="455"/>
      <c r="G598" s="455"/>
      <c r="H598" s="468"/>
      <c r="I598" s="468"/>
      <c r="J598" s="468"/>
      <c r="K598" s="453"/>
      <c r="L598" s="97"/>
      <c r="M598" s="404"/>
      <c r="N598" s="404"/>
      <c r="O598" s="404"/>
      <c r="P598" s="404"/>
      <c r="Q598" s="404"/>
      <c r="R598" s="404"/>
      <c r="S598" s="404"/>
      <c r="T598" s="404"/>
      <c r="U598" s="453"/>
    </row>
    <row r="599" spans="1:22" ht="27" customHeight="1" x14ac:dyDescent="0.15">
      <c r="B599" s="1025" t="s">
        <v>258</v>
      </c>
      <c r="C599" s="1026"/>
      <c r="D599" s="1026"/>
      <c r="E599" s="1026"/>
      <c r="F599" s="1026"/>
      <c r="G599" s="1026"/>
      <c r="H599" s="1026"/>
      <c r="I599" s="1026"/>
      <c r="J599" s="1026"/>
      <c r="K599" s="1026"/>
      <c r="L599" s="1026"/>
      <c r="M599" s="1026"/>
      <c r="N599" s="1026"/>
      <c r="O599" s="1026"/>
      <c r="P599" s="1026"/>
      <c r="Q599" s="1026"/>
      <c r="R599" s="1026"/>
      <c r="S599" s="1026"/>
      <c r="T599" s="1026"/>
      <c r="U599" s="1027"/>
      <c r="V599" s="473"/>
    </row>
    <row r="600" spans="1:22" ht="27" customHeight="1" x14ac:dyDescent="0.15">
      <c r="B600" s="1028"/>
      <c r="C600" s="1029"/>
      <c r="D600" s="1029"/>
      <c r="E600" s="1029"/>
      <c r="F600" s="1029"/>
      <c r="G600" s="1029"/>
      <c r="H600" s="1029"/>
      <c r="I600" s="1029"/>
      <c r="J600" s="1029"/>
      <c r="K600" s="1029"/>
      <c r="L600" s="1029"/>
      <c r="M600" s="1029"/>
      <c r="N600" s="1029"/>
      <c r="O600" s="1029"/>
      <c r="P600" s="1029"/>
      <c r="Q600" s="1029"/>
      <c r="R600" s="1029"/>
      <c r="S600" s="1029"/>
      <c r="T600" s="1029"/>
      <c r="U600" s="1030"/>
      <c r="V600" s="473"/>
    </row>
    <row r="601" spans="1:22" ht="27" customHeight="1" x14ac:dyDescent="0.15">
      <c r="A601" s="55"/>
      <c r="B601" s="55"/>
      <c r="C601" s="55"/>
      <c r="O601" s="55"/>
      <c r="P601" s="55"/>
      <c r="Q601" s="55"/>
      <c r="R601" s="55"/>
      <c r="S601" s="55"/>
      <c r="T601" s="55"/>
    </row>
    <row r="602" spans="1:22" ht="27" customHeight="1" x14ac:dyDescent="0.15">
      <c r="A602" s="55"/>
      <c r="B602" s="700" t="s">
        <v>1267</v>
      </c>
      <c r="C602" s="701"/>
      <c r="D602" s="701"/>
      <c r="E602" s="701"/>
      <c r="F602" s="701"/>
      <c r="G602" s="701"/>
      <c r="H602" s="702"/>
      <c r="J602" s="126"/>
      <c r="K602" s="126"/>
      <c r="L602" s="126"/>
      <c r="M602" s="126"/>
      <c r="N602" s="126"/>
      <c r="O602" s="127"/>
      <c r="P602" s="127"/>
      <c r="Q602" s="55"/>
      <c r="R602" s="55"/>
      <c r="S602" s="55"/>
      <c r="T602" s="55"/>
    </row>
    <row r="603" spans="1:22" ht="13.5" customHeight="1" thickBot="1" x14ac:dyDescent="0.2">
      <c r="A603" s="55"/>
      <c r="B603" s="55"/>
      <c r="C603" s="55"/>
      <c r="O603" s="55"/>
      <c r="P603" s="55"/>
      <c r="Q603" s="55"/>
      <c r="R603" s="55"/>
      <c r="S603" s="55"/>
      <c r="T603" s="55"/>
    </row>
    <row r="604" spans="1:22" ht="30" customHeight="1" thickBot="1" x14ac:dyDescent="0.2">
      <c r="A604" s="850" t="s">
        <v>122</v>
      </c>
      <c r="B604" s="851"/>
      <c r="C604" s="852"/>
      <c r="D604" s="876"/>
      <c r="E604" s="876"/>
      <c r="F604" s="890" t="s">
        <v>160</v>
      </c>
      <c r="G604" s="851"/>
      <c r="H604" s="852"/>
      <c r="I604" s="703"/>
      <c r="J604" s="703"/>
      <c r="K604" s="1022" t="s">
        <v>161</v>
      </c>
      <c r="L604" s="1022"/>
      <c r="M604" s="679" t="s">
        <v>162</v>
      </c>
      <c r="N604" s="679"/>
      <c r="O604" s="679"/>
      <c r="P604" s="703"/>
      <c r="Q604" s="704"/>
    </row>
    <row r="605" spans="1:22" ht="30" customHeight="1" thickBot="1" x14ac:dyDescent="0.2">
      <c r="A605" s="720" t="s">
        <v>1805</v>
      </c>
      <c r="B605" s="721"/>
      <c r="C605" s="721"/>
      <c r="D605" s="721"/>
      <c r="E605" s="721"/>
      <c r="F605" s="721"/>
      <c r="G605" s="721"/>
      <c r="H605" s="722"/>
      <c r="I605" s="873" t="s">
        <v>181</v>
      </c>
      <c r="J605" s="720" t="s">
        <v>1806</v>
      </c>
      <c r="K605" s="721"/>
      <c r="L605" s="721"/>
      <c r="M605" s="721"/>
      <c r="N605" s="721"/>
      <c r="O605" s="721"/>
      <c r="P605" s="721"/>
      <c r="Q605" s="722"/>
      <c r="R605" s="873" t="s">
        <v>1269</v>
      </c>
      <c r="S605" s="1046" t="s">
        <v>1807</v>
      </c>
      <c r="T605" s="1047"/>
      <c r="U605" s="1047"/>
      <c r="V605" s="1048"/>
    </row>
    <row r="606" spans="1:22" ht="27" customHeight="1" thickTop="1" x14ac:dyDescent="0.15">
      <c r="A606" s="717" t="s">
        <v>164</v>
      </c>
      <c r="B606" s="718"/>
      <c r="C606" s="718"/>
      <c r="D606" s="719"/>
      <c r="E606" s="1010"/>
      <c r="F606" s="1010"/>
      <c r="G606" s="1010"/>
      <c r="H606" s="1" t="s">
        <v>73</v>
      </c>
      <c r="I606" s="874"/>
      <c r="J606" s="717" t="s">
        <v>164</v>
      </c>
      <c r="K606" s="718"/>
      <c r="L606" s="718"/>
      <c r="M606" s="719"/>
      <c r="N606" s="1010"/>
      <c r="O606" s="1010"/>
      <c r="P606" s="1010"/>
      <c r="Q606" s="1" t="s">
        <v>73</v>
      </c>
      <c r="R606" s="874"/>
      <c r="S606" s="723">
        <f t="shared" ref="S606:S614" si="21">N606-E606</f>
        <v>0</v>
      </c>
      <c r="T606" s="724"/>
      <c r="U606" s="724"/>
      <c r="V606" s="340" t="s">
        <v>73</v>
      </c>
    </row>
    <row r="607" spans="1:22" ht="27" customHeight="1" x14ac:dyDescent="0.15">
      <c r="A607" s="709" t="s">
        <v>276</v>
      </c>
      <c r="B607" s="710"/>
      <c r="C607" s="710"/>
      <c r="D607" s="711"/>
      <c r="E607" s="708">
        <f>SUM(E608+E611+E614+E616+E617)</f>
        <v>0</v>
      </c>
      <c r="F607" s="708"/>
      <c r="G607" s="708"/>
      <c r="H607" s="2" t="s">
        <v>73</v>
      </c>
      <c r="I607" s="874"/>
      <c r="J607" s="709" t="s">
        <v>276</v>
      </c>
      <c r="K607" s="710"/>
      <c r="L607" s="710"/>
      <c r="M607" s="711"/>
      <c r="N607" s="708">
        <f>SUM(N608+N611+N614+N616+N617)</f>
        <v>0</v>
      </c>
      <c r="O607" s="708"/>
      <c r="P607" s="708"/>
      <c r="Q607" s="2" t="s">
        <v>73</v>
      </c>
      <c r="R607" s="874"/>
      <c r="S607" s="723">
        <f t="shared" si="21"/>
        <v>0</v>
      </c>
      <c r="T607" s="724"/>
      <c r="U607" s="724"/>
      <c r="V607" s="339" t="s">
        <v>73</v>
      </c>
    </row>
    <row r="608" spans="1:22" ht="27" customHeight="1" x14ac:dyDescent="0.15">
      <c r="A608" s="694" t="s">
        <v>271</v>
      </c>
      <c r="B608" s="695"/>
      <c r="C608" s="695"/>
      <c r="D608" s="696"/>
      <c r="E608" s="678"/>
      <c r="F608" s="678"/>
      <c r="G608" s="678"/>
      <c r="H608" s="2" t="s">
        <v>73</v>
      </c>
      <c r="I608" s="874"/>
      <c r="J608" s="694" t="s">
        <v>271</v>
      </c>
      <c r="K608" s="695"/>
      <c r="L608" s="695"/>
      <c r="M608" s="696"/>
      <c r="N608" s="678"/>
      <c r="O608" s="678"/>
      <c r="P608" s="678"/>
      <c r="Q608" s="2" t="s">
        <v>73</v>
      </c>
      <c r="R608" s="874"/>
      <c r="S608" s="723">
        <f t="shared" si="21"/>
        <v>0</v>
      </c>
      <c r="T608" s="724"/>
      <c r="U608" s="724"/>
      <c r="V608" s="339" t="s">
        <v>73</v>
      </c>
    </row>
    <row r="609" spans="1:22" ht="27" customHeight="1" x14ac:dyDescent="0.15">
      <c r="A609" s="714" t="s">
        <v>177</v>
      </c>
      <c r="B609" s="715"/>
      <c r="C609" s="715"/>
      <c r="D609" s="716"/>
      <c r="E609" s="678"/>
      <c r="F609" s="678"/>
      <c r="G609" s="678"/>
      <c r="H609" s="3" t="s">
        <v>179</v>
      </c>
      <c r="I609" s="874"/>
      <c r="J609" s="714" t="s">
        <v>177</v>
      </c>
      <c r="K609" s="715"/>
      <c r="L609" s="715"/>
      <c r="M609" s="716"/>
      <c r="N609" s="678"/>
      <c r="O609" s="678"/>
      <c r="P609" s="678"/>
      <c r="Q609" s="3" t="s">
        <v>179</v>
      </c>
      <c r="R609" s="874"/>
      <c r="S609" s="723">
        <f t="shared" si="21"/>
        <v>0</v>
      </c>
      <c r="T609" s="724"/>
      <c r="U609" s="724"/>
      <c r="V609" s="341" t="s">
        <v>179</v>
      </c>
    </row>
    <row r="610" spans="1:22" ht="24.95" customHeight="1" x14ac:dyDescent="0.15">
      <c r="A610" s="674" t="s">
        <v>1484</v>
      </c>
      <c r="B610" s="675"/>
      <c r="C610" s="675"/>
      <c r="D610" s="676"/>
      <c r="E610" s="677" t="str">
        <f>IF(E608=0,"",E608/E609)</f>
        <v/>
      </c>
      <c r="F610" s="677"/>
      <c r="G610" s="677"/>
      <c r="H610" s="339" t="s">
        <v>73</v>
      </c>
      <c r="I610" s="874"/>
      <c r="J610" s="674" t="s">
        <v>1484</v>
      </c>
      <c r="K610" s="675"/>
      <c r="L610" s="675"/>
      <c r="M610" s="676"/>
      <c r="N610" s="677" t="str">
        <f>IF(N608=0,"",N608/N609)</f>
        <v/>
      </c>
      <c r="O610" s="677"/>
      <c r="P610" s="677"/>
      <c r="Q610" s="339" t="s">
        <v>73</v>
      </c>
      <c r="R610" s="874"/>
      <c r="S610" s="680" t="s">
        <v>1268</v>
      </c>
      <c r="T610" s="681"/>
      <c r="U610" s="681"/>
      <c r="V610" s="682"/>
    </row>
    <row r="611" spans="1:22" ht="27" customHeight="1" x14ac:dyDescent="0.15">
      <c r="A611" s="694" t="s">
        <v>272</v>
      </c>
      <c r="B611" s="695"/>
      <c r="C611" s="695"/>
      <c r="D611" s="696"/>
      <c r="E611" s="678"/>
      <c r="F611" s="678"/>
      <c r="G611" s="678"/>
      <c r="H611" s="2" t="s">
        <v>73</v>
      </c>
      <c r="I611" s="874"/>
      <c r="J611" s="694" t="s">
        <v>272</v>
      </c>
      <c r="K611" s="695"/>
      <c r="L611" s="695"/>
      <c r="M611" s="696"/>
      <c r="N611" s="678"/>
      <c r="O611" s="678"/>
      <c r="P611" s="678"/>
      <c r="Q611" s="2" t="s">
        <v>73</v>
      </c>
      <c r="R611" s="874"/>
      <c r="S611" s="723">
        <f t="shared" si="21"/>
        <v>0</v>
      </c>
      <c r="T611" s="724"/>
      <c r="U611" s="724"/>
      <c r="V611" s="339" t="s">
        <v>73</v>
      </c>
    </row>
    <row r="612" spans="1:22" ht="27" customHeight="1" x14ac:dyDescent="0.15">
      <c r="A612" s="714" t="s">
        <v>178</v>
      </c>
      <c r="B612" s="715"/>
      <c r="C612" s="715"/>
      <c r="D612" s="716"/>
      <c r="E612" s="678"/>
      <c r="F612" s="678"/>
      <c r="G612" s="678"/>
      <c r="H612" s="3" t="s">
        <v>180</v>
      </c>
      <c r="I612" s="874"/>
      <c r="J612" s="714" t="s">
        <v>178</v>
      </c>
      <c r="K612" s="715"/>
      <c r="L612" s="715"/>
      <c r="M612" s="716"/>
      <c r="N612" s="678"/>
      <c r="O612" s="678"/>
      <c r="P612" s="678"/>
      <c r="Q612" s="3" t="s">
        <v>180</v>
      </c>
      <c r="R612" s="874"/>
      <c r="S612" s="723">
        <f t="shared" si="21"/>
        <v>0</v>
      </c>
      <c r="T612" s="724"/>
      <c r="U612" s="724"/>
      <c r="V612" s="341" t="s">
        <v>180</v>
      </c>
    </row>
    <row r="613" spans="1:22" ht="24.95" customHeight="1" x14ac:dyDescent="0.15">
      <c r="A613" s="674" t="s">
        <v>1486</v>
      </c>
      <c r="B613" s="675"/>
      <c r="C613" s="675"/>
      <c r="D613" s="676"/>
      <c r="E613" s="677" t="str">
        <f>IF(E611=0,"",E611/E612)</f>
        <v/>
      </c>
      <c r="F613" s="677"/>
      <c r="G613" s="677"/>
      <c r="H613" s="339" t="s">
        <v>73</v>
      </c>
      <c r="I613" s="874"/>
      <c r="J613" s="674" t="s">
        <v>1486</v>
      </c>
      <c r="K613" s="675"/>
      <c r="L613" s="675"/>
      <c r="M613" s="676"/>
      <c r="N613" s="677" t="str">
        <f>IF(N611=0,"",N611/N612)</f>
        <v/>
      </c>
      <c r="O613" s="677"/>
      <c r="P613" s="677"/>
      <c r="Q613" s="339" t="s">
        <v>73</v>
      </c>
      <c r="R613" s="874"/>
      <c r="S613" s="680" t="s">
        <v>1268</v>
      </c>
      <c r="T613" s="681"/>
      <c r="U613" s="681"/>
      <c r="V613" s="682"/>
    </row>
    <row r="614" spans="1:22" ht="27" customHeight="1" x14ac:dyDescent="0.15">
      <c r="A614" s="694" t="s">
        <v>273</v>
      </c>
      <c r="B614" s="695"/>
      <c r="C614" s="695"/>
      <c r="D614" s="696"/>
      <c r="E614" s="678"/>
      <c r="F614" s="678"/>
      <c r="G614" s="678"/>
      <c r="H614" s="2" t="s">
        <v>73</v>
      </c>
      <c r="I614" s="874"/>
      <c r="J614" s="694" t="s">
        <v>273</v>
      </c>
      <c r="K614" s="695"/>
      <c r="L614" s="695"/>
      <c r="M614" s="696"/>
      <c r="N614" s="678"/>
      <c r="O614" s="678"/>
      <c r="P614" s="678"/>
      <c r="Q614" s="2" t="s">
        <v>73</v>
      </c>
      <c r="R614" s="874"/>
      <c r="S614" s="723">
        <f t="shared" si="21"/>
        <v>0</v>
      </c>
      <c r="T614" s="724"/>
      <c r="U614" s="724"/>
      <c r="V614" s="339" t="s">
        <v>73</v>
      </c>
    </row>
    <row r="615" spans="1:22" ht="27" customHeight="1" x14ac:dyDescent="0.15">
      <c r="A615" s="714" t="s">
        <v>257</v>
      </c>
      <c r="B615" s="715"/>
      <c r="C615" s="715"/>
      <c r="D615" s="716"/>
      <c r="E615" s="697"/>
      <c r="F615" s="698"/>
      <c r="G615" s="698"/>
      <c r="H615" s="699"/>
      <c r="I615" s="874"/>
      <c r="J615" s="714" t="s">
        <v>257</v>
      </c>
      <c r="K615" s="715"/>
      <c r="L615" s="715"/>
      <c r="M615" s="716"/>
      <c r="N615" s="697"/>
      <c r="O615" s="698"/>
      <c r="P615" s="698"/>
      <c r="Q615" s="699"/>
      <c r="R615" s="874"/>
      <c r="S615" s="680" t="s">
        <v>1270</v>
      </c>
      <c r="T615" s="681"/>
      <c r="U615" s="681"/>
      <c r="V615" s="682"/>
    </row>
    <row r="616" spans="1:22" ht="27" customHeight="1" x14ac:dyDescent="0.15">
      <c r="A616" s="694" t="s">
        <v>274</v>
      </c>
      <c r="B616" s="695"/>
      <c r="C616" s="695"/>
      <c r="D616" s="696"/>
      <c r="E616" s="678"/>
      <c r="F616" s="678"/>
      <c r="G616" s="678"/>
      <c r="H616" s="2" t="s">
        <v>73</v>
      </c>
      <c r="I616" s="874"/>
      <c r="J616" s="694" t="s">
        <v>274</v>
      </c>
      <c r="K616" s="695"/>
      <c r="L616" s="695"/>
      <c r="M616" s="696"/>
      <c r="N616" s="678"/>
      <c r="O616" s="678"/>
      <c r="P616" s="678"/>
      <c r="Q616" s="2" t="s">
        <v>73</v>
      </c>
      <c r="R616" s="874"/>
      <c r="S616" s="781">
        <f>N616-E616</f>
        <v>0</v>
      </c>
      <c r="T616" s="677"/>
      <c r="U616" s="677"/>
      <c r="V616" s="339" t="s">
        <v>73</v>
      </c>
    </row>
    <row r="617" spans="1:22" ht="27" customHeight="1" x14ac:dyDescent="0.15">
      <c r="A617" s="694" t="s">
        <v>275</v>
      </c>
      <c r="B617" s="695"/>
      <c r="C617" s="695"/>
      <c r="D617" s="696"/>
      <c r="E617" s="678"/>
      <c r="F617" s="678"/>
      <c r="G617" s="678"/>
      <c r="H617" s="2" t="s">
        <v>73</v>
      </c>
      <c r="I617" s="874"/>
      <c r="J617" s="694" t="s">
        <v>275</v>
      </c>
      <c r="K617" s="695"/>
      <c r="L617" s="695"/>
      <c r="M617" s="696"/>
      <c r="N617" s="678"/>
      <c r="O617" s="678"/>
      <c r="P617" s="678"/>
      <c r="Q617" s="2" t="s">
        <v>73</v>
      </c>
      <c r="R617" s="874"/>
      <c r="S617" s="781">
        <f>N617-E617</f>
        <v>0</v>
      </c>
      <c r="T617" s="677"/>
      <c r="U617" s="677"/>
      <c r="V617" s="339" t="s">
        <v>73</v>
      </c>
    </row>
    <row r="618" spans="1:22" ht="27" customHeight="1" thickBot="1" x14ac:dyDescent="0.2">
      <c r="A618" s="671" t="s">
        <v>259</v>
      </c>
      <c r="B618" s="672"/>
      <c r="C618" s="672"/>
      <c r="D618" s="673"/>
      <c r="E618" s="1016"/>
      <c r="F618" s="1017"/>
      <c r="G618" s="1018"/>
      <c r="H618" s="4" t="s">
        <v>73</v>
      </c>
      <c r="I618" s="875"/>
      <c r="J618" s="705"/>
      <c r="K618" s="706"/>
      <c r="L618" s="706"/>
      <c r="M618" s="706"/>
      <c r="N618" s="706"/>
      <c r="O618" s="706"/>
      <c r="P618" s="706"/>
      <c r="Q618" s="707"/>
      <c r="R618" s="875"/>
      <c r="S618" s="342"/>
      <c r="T618" s="343"/>
      <c r="U618" s="343"/>
      <c r="V618" s="344"/>
    </row>
    <row r="619" spans="1:22" ht="27" customHeight="1" x14ac:dyDescent="0.15">
      <c r="A619" s="55"/>
      <c r="B619" s="55"/>
      <c r="C619" s="55"/>
      <c r="O619" s="55"/>
      <c r="P619" s="55"/>
      <c r="Q619" s="55"/>
      <c r="R619" s="55"/>
      <c r="S619" s="55"/>
      <c r="T619" s="55"/>
    </row>
    <row r="620" spans="1:22" ht="27" customHeight="1" x14ac:dyDescent="0.15">
      <c r="A620" s="55"/>
      <c r="B620" s="1220" t="s">
        <v>609</v>
      </c>
      <c r="C620" s="1220"/>
      <c r="D620" s="1220"/>
      <c r="E620" s="1220"/>
      <c r="G620" s="126"/>
      <c r="H620" s="126"/>
      <c r="I620" s="126"/>
      <c r="J620" s="126"/>
      <c r="K620" s="126"/>
      <c r="L620" s="127"/>
      <c r="M620" s="127"/>
      <c r="O620" s="55"/>
      <c r="P620" s="55"/>
      <c r="Q620" s="55"/>
      <c r="R620" s="55"/>
      <c r="S620" s="55"/>
    </row>
    <row r="621" spans="1:22" ht="13.5" customHeight="1" thickBot="1" x14ac:dyDescent="0.2">
      <c r="A621" s="55"/>
      <c r="B621" s="55"/>
      <c r="C621" s="55"/>
      <c r="O621" s="55"/>
      <c r="P621" s="55"/>
      <c r="Q621" s="55"/>
      <c r="R621" s="55"/>
      <c r="S621" s="55"/>
      <c r="T621" s="55"/>
    </row>
    <row r="622" spans="1:22" ht="30" customHeight="1" thickBot="1" x14ac:dyDescent="0.2">
      <c r="A622" s="850" t="s">
        <v>122</v>
      </c>
      <c r="B622" s="851"/>
      <c r="C622" s="852"/>
      <c r="D622" s="876"/>
      <c r="E622" s="876"/>
      <c r="F622" s="890" t="s">
        <v>160</v>
      </c>
      <c r="G622" s="851"/>
      <c r="H622" s="852"/>
      <c r="I622" s="703"/>
      <c r="J622" s="703"/>
      <c r="K622" s="1022" t="s">
        <v>161</v>
      </c>
      <c r="L622" s="1022"/>
      <c r="M622" s="679" t="s">
        <v>162</v>
      </c>
      <c r="N622" s="679"/>
      <c r="O622" s="679"/>
      <c r="P622" s="703"/>
      <c r="Q622" s="704"/>
    </row>
    <row r="623" spans="1:22" ht="30" customHeight="1" thickBot="1" x14ac:dyDescent="0.2">
      <c r="A623" s="720" t="s">
        <v>1805</v>
      </c>
      <c r="B623" s="721"/>
      <c r="C623" s="721"/>
      <c r="D623" s="721"/>
      <c r="E623" s="721"/>
      <c r="F623" s="721"/>
      <c r="G623" s="721"/>
      <c r="H623" s="722"/>
      <c r="I623" s="873" t="s">
        <v>181</v>
      </c>
      <c r="J623" s="720" t="s">
        <v>1806</v>
      </c>
      <c r="K623" s="721"/>
      <c r="L623" s="721"/>
      <c r="M623" s="721"/>
      <c r="N623" s="721"/>
      <c r="O623" s="721"/>
      <c r="P623" s="721"/>
      <c r="Q623" s="722"/>
      <c r="R623" s="873" t="s">
        <v>1269</v>
      </c>
      <c r="S623" s="1046" t="s">
        <v>1807</v>
      </c>
      <c r="T623" s="1047"/>
      <c r="U623" s="1047"/>
      <c r="V623" s="1048"/>
    </row>
    <row r="624" spans="1:22" ht="27" customHeight="1" thickTop="1" x14ac:dyDescent="0.15">
      <c r="A624" s="717" t="s">
        <v>164</v>
      </c>
      <c r="B624" s="718"/>
      <c r="C624" s="718"/>
      <c r="D624" s="719"/>
      <c r="E624" s="1010"/>
      <c r="F624" s="1010"/>
      <c r="G624" s="1010"/>
      <c r="H624" s="1" t="s">
        <v>73</v>
      </c>
      <c r="I624" s="874"/>
      <c r="J624" s="717" t="s">
        <v>164</v>
      </c>
      <c r="K624" s="718"/>
      <c r="L624" s="718"/>
      <c r="M624" s="719"/>
      <c r="N624" s="1010"/>
      <c r="O624" s="1010"/>
      <c r="P624" s="1010"/>
      <c r="Q624" s="1" t="s">
        <v>73</v>
      </c>
      <c r="R624" s="874"/>
      <c r="S624" s="723">
        <f t="shared" ref="S624:S632" si="22">N624-E624</f>
        <v>0</v>
      </c>
      <c r="T624" s="724"/>
      <c r="U624" s="724"/>
      <c r="V624" s="340" t="s">
        <v>73</v>
      </c>
    </row>
    <row r="625" spans="1:22" ht="27" customHeight="1" x14ac:dyDescent="0.15">
      <c r="A625" s="709" t="s">
        <v>276</v>
      </c>
      <c r="B625" s="710"/>
      <c r="C625" s="710"/>
      <c r="D625" s="711"/>
      <c r="E625" s="708">
        <f>SUM(E626+E629+E632+E634+E635)</f>
        <v>0</v>
      </c>
      <c r="F625" s="708"/>
      <c r="G625" s="708"/>
      <c r="H625" s="2" t="s">
        <v>73</v>
      </c>
      <c r="I625" s="874"/>
      <c r="J625" s="709" t="s">
        <v>276</v>
      </c>
      <c r="K625" s="710"/>
      <c r="L625" s="710"/>
      <c r="M625" s="711"/>
      <c r="N625" s="708">
        <f>SUM(N626+N629+N632+N634+N635)</f>
        <v>0</v>
      </c>
      <c r="O625" s="708"/>
      <c r="P625" s="708"/>
      <c r="Q625" s="2" t="s">
        <v>73</v>
      </c>
      <c r="R625" s="874"/>
      <c r="S625" s="723">
        <f t="shared" si="22"/>
        <v>0</v>
      </c>
      <c r="T625" s="724"/>
      <c r="U625" s="724"/>
      <c r="V625" s="339" t="s">
        <v>73</v>
      </c>
    </row>
    <row r="626" spans="1:22" ht="27" customHeight="1" x14ac:dyDescent="0.15">
      <c r="A626" s="694" t="s">
        <v>271</v>
      </c>
      <c r="B626" s="695"/>
      <c r="C626" s="695"/>
      <c r="D626" s="696"/>
      <c r="E626" s="678"/>
      <c r="F626" s="678"/>
      <c r="G626" s="678"/>
      <c r="H626" s="2" t="s">
        <v>73</v>
      </c>
      <c r="I626" s="874"/>
      <c r="J626" s="694" t="s">
        <v>271</v>
      </c>
      <c r="K626" s="695"/>
      <c r="L626" s="695"/>
      <c r="M626" s="696"/>
      <c r="N626" s="678"/>
      <c r="O626" s="678"/>
      <c r="P626" s="678"/>
      <c r="Q626" s="2" t="s">
        <v>73</v>
      </c>
      <c r="R626" s="874"/>
      <c r="S626" s="723">
        <f t="shared" si="22"/>
        <v>0</v>
      </c>
      <c r="T626" s="724"/>
      <c r="U626" s="724"/>
      <c r="V626" s="339" t="s">
        <v>73</v>
      </c>
    </row>
    <row r="627" spans="1:22" ht="27" customHeight="1" x14ac:dyDescent="0.15">
      <c r="A627" s="714" t="s">
        <v>177</v>
      </c>
      <c r="B627" s="715"/>
      <c r="C627" s="715"/>
      <c r="D627" s="716"/>
      <c r="E627" s="678"/>
      <c r="F627" s="678"/>
      <c r="G627" s="678"/>
      <c r="H627" s="3" t="s">
        <v>179</v>
      </c>
      <c r="I627" s="874"/>
      <c r="J627" s="714" t="s">
        <v>177</v>
      </c>
      <c r="K627" s="715"/>
      <c r="L627" s="715"/>
      <c r="M627" s="716"/>
      <c r="N627" s="678"/>
      <c r="O627" s="678"/>
      <c r="P627" s="678"/>
      <c r="Q627" s="3" t="s">
        <v>179</v>
      </c>
      <c r="R627" s="874"/>
      <c r="S627" s="723">
        <f t="shared" si="22"/>
        <v>0</v>
      </c>
      <c r="T627" s="724"/>
      <c r="U627" s="724"/>
      <c r="V627" s="341" t="s">
        <v>179</v>
      </c>
    </row>
    <row r="628" spans="1:22" ht="24.95" customHeight="1" x14ac:dyDescent="0.15">
      <c r="A628" s="674" t="s">
        <v>1484</v>
      </c>
      <c r="B628" s="675"/>
      <c r="C628" s="675"/>
      <c r="D628" s="676"/>
      <c r="E628" s="677" t="str">
        <f>IF(E626=0,"",E626/E627)</f>
        <v/>
      </c>
      <c r="F628" s="677"/>
      <c r="G628" s="677"/>
      <c r="H628" s="339" t="s">
        <v>73</v>
      </c>
      <c r="I628" s="874"/>
      <c r="J628" s="674" t="s">
        <v>1484</v>
      </c>
      <c r="K628" s="675"/>
      <c r="L628" s="675"/>
      <c r="M628" s="676"/>
      <c r="N628" s="677" t="str">
        <f>IF(N626=0,"",N626/N627)</f>
        <v/>
      </c>
      <c r="O628" s="677"/>
      <c r="P628" s="677"/>
      <c r="Q628" s="339" t="s">
        <v>73</v>
      </c>
      <c r="R628" s="874"/>
      <c r="S628" s="680" t="s">
        <v>1268</v>
      </c>
      <c r="T628" s="681"/>
      <c r="U628" s="681"/>
      <c r="V628" s="682"/>
    </row>
    <row r="629" spans="1:22" ht="27" customHeight="1" x14ac:dyDescent="0.15">
      <c r="A629" s="694" t="s">
        <v>272</v>
      </c>
      <c r="B629" s="695"/>
      <c r="C629" s="695"/>
      <c r="D629" s="696"/>
      <c r="E629" s="678"/>
      <c r="F629" s="678"/>
      <c r="G629" s="678"/>
      <c r="H629" s="2" t="s">
        <v>73</v>
      </c>
      <c r="I629" s="874"/>
      <c r="J629" s="694" t="s">
        <v>272</v>
      </c>
      <c r="K629" s="695"/>
      <c r="L629" s="695"/>
      <c r="M629" s="696"/>
      <c r="N629" s="678"/>
      <c r="O629" s="678"/>
      <c r="P629" s="678"/>
      <c r="Q629" s="2" t="s">
        <v>73</v>
      </c>
      <c r="R629" s="874"/>
      <c r="S629" s="723">
        <f t="shared" si="22"/>
        <v>0</v>
      </c>
      <c r="T629" s="724"/>
      <c r="U629" s="724"/>
      <c r="V629" s="339" t="s">
        <v>73</v>
      </c>
    </row>
    <row r="630" spans="1:22" ht="27" customHeight="1" x14ac:dyDescent="0.15">
      <c r="A630" s="714" t="s">
        <v>178</v>
      </c>
      <c r="B630" s="715"/>
      <c r="C630" s="715"/>
      <c r="D630" s="716"/>
      <c r="E630" s="678"/>
      <c r="F630" s="678"/>
      <c r="G630" s="678"/>
      <c r="H630" s="3" t="s">
        <v>180</v>
      </c>
      <c r="I630" s="874"/>
      <c r="J630" s="714" t="s">
        <v>178</v>
      </c>
      <c r="K630" s="715"/>
      <c r="L630" s="715"/>
      <c r="M630" s="716"/>
      <c r="N630" s="678"/>
      <c r="O630" s="678"/>
      <c r="P630" s="678"/>
      <c r="Q630" s="3" t="s">
        <v>180</v>
      </c>
      <c r="R630" s="874"/>
      <c r="S630" s="723">
        <f t="shared" si="22"/>
        <v>0</v>
      </c>
      <c r="T630" s="724"/>
      <c r="U630" s="724"/>
      <c r="V630" s="341" t="s">
        <v>180</v>
      </c>
    </row>
    <row r="631" spans="1:22" ht="24.95" customHeight="1" x14ac:dyDescent="0.15">
      <c r="A631" s="674" t="s">
        <v>1486</v>
      </c>
      <c r="B631" s="675"/>
      <c r="C631" s="675"/>
      <c r="D631" s="676"/>
      <c r="E631" s="677" t="str">
        <f>IF(E629=0,"",E629/E630)</f>
        <v/>
      </c>
      <c r="F631" s="677"/>
      <c r="G631" s="677"/>
      <c r="H631" s="339" t="s">
        <v>73</v>
      </c>
      <c r="I631" s="874"/>
      <c r="J631" s="674" t="s">
        <v>1486</v>
      </c>
      <c r="K631" s="675"/>
      <c r="L631" s="675"/>
      <c r="M631" s="676"/>
      <c r="N631" s="677" t="str">
        <f>IF(N629=0,"",N629/N630)</f>
        <v/>
      </c>
      <c r="O631" s="677"/>
      <c r="P631" s="677"/>
      <c r="Q631" s="339" t="s">
        <v>73</v>
      </c>
      <c r="R631" s="874"/>
      <c r="S631" s="680" t="s">
        <v>1268</v>
      </c>
      <c r="T631" s="681"/>
      <c r="U631" s="681"/>
      <c r="V631" s="682"/>
    </row>
    <row r="632" spans="1:22" ht="27" customHeight="1" x14ac:dyDescent="0.15">
      <c r="A632" s="694" t="s">
        <v>273</v>
      </c>
      <c r="B632" s="695"/>
      <c r="C632" s="695"/>
      <c r="D632" s="696"/>
      <c r="E632" s="678"/>
      <c r="F632" s="678"/>
      <c r="G632" s="678"/>
      <c r="H632" s="2" t="s">
        <v>73</v>
      </c>
      <c r="I632" s="874"/>
      <c r="J632" s="694" t="s">
        <v>273</v>
      </c>
      <c r="K632" s="695"/>
      <c r="L632" s="695"/>
      <c r="M632" s="696"/>
      <c r="N632" s="678"/>
      <c r="O632" s="678"/>
      <c r="P632" s="678"/>
      <c r="Q632" s="2" t="s">
        <v>73</v>
      </c>
      <c r="R632" s="874"/>
      <c r="S632" s="723">
        <f t="shared" si="22"/>
        <v>0</v>
      </c>
      <c r="T632" s="724"/>
      <c r="U632" s="724"/>
      <c r="V632" s="339" t="s">
        <v>73</v>
      </c>
    </row>
    <row r="633" spans="1:22" ht="27" customHeight="1" x14ac:dyDescent="0.15">
      <c r="A633" s="714" t="s">
        <v>257</v>
      </c>
      <c r="B633" s="715"/>
      <c r="C633" s="715"/>
      <c r="D633" s="716"/>
      <c r="E633" s="697"/>
      <c r="F633" s="698"/>
      <c r="G633" s="698"/>
      <c r="H633" s="699"/>
      <c r="I633" s="874"/>
      <c r="J633" s="714" t="s">
        <v>257</v>
      </c>
      <c r="K633" s="715"/>
      <c r="L633" s="715"/>
      <c r="M633" s="716"/>
      <c r="N633" s="697"/>
      <c r="O633" s="698"/>
      <c r="P633" s="698"/>
      <c r="Q633" s="699"/>
      <c r="R633" s="874"/>
      <c r="S633" s="680" t="s">
        <v>1272</v>
      </c>
      <c r="T633" s="681"/>
      <c r="U633" s="681"/>
      <c r="V633" s="682"/>
    </row>
    <row r="634" spans="1:22" ht="27" customHeight="1" x14ac:dyDescent="0.15">
      <c r="A634" s="694" t="s">
        <v>274</v>
      </c>
      <c r="B634" s="695"/>
      <c r="C634" s="695"/>
      <c r="D634" s="696"/>
      <c r="E634" s="678"/>
      <c r="F634" s="678"/>
      <c r="G634" s="678"/>
      <c r="H634" s="2" t="s">
        <v>73</v>
      </c>
      <c r="I634" s="874"/>
      <c r="J634" s="694" t="s">
        <v>274</v>
      </c>
      <c r="K634" s="695"/>
      <c r="L634" s="695"/>
      <c r="M634" s="696"/>
      <c r="N634" s="678"/>
      <c r="O634" s="678"/>
      <c r="P634" s="678"/>
      <c r="Q634" s="2" t="s">
        <v>73</v>
      </c>
      <c r="R634" s="874"/>
      <c r="S634" s="781">
        <f>N634-E634</f>
        <v>0</v>
      </c>
      <c r="T634" s="677"/>
      <c r="U634" s="677"/>
      <c r="V634" s="339" t="s">
        <v>73</v>
      </c>
    </row>
    <row r="635" spans="1:22" ht="27" customHeight="1" x14ac:dyDescent="0.15">
      <c r="A635" s="694" t="s">
        <v>275</v>
      </c>
      <c r="B635" s="695"/>
      <c r="C635" s="695"/>
      <c r="D635" s="696"/>
      <c r="E635" s="678"/>
      <c r="F635" s="678"/>
      <c r="G635" s="678"/>
      <c r="H635" s="2" t="s">
        <v>73</v>
      </c>
      <c r="I635" s="874"/>
      <c r="J635" s="694" t="s">
        <v>275</v>
      </c>
      <c r="K635" s="695"/>
      <c r="L635" s="695"/>
      <c r="M635" s="696"/>
      <c r="N635" s="678"/>
      <c r="O635" s="678"/>
      <c r="P635" s="678"/>
      <c r="Q635" s="2" t="s">
        <v>73</v>
      </c>
      <c r="R635" s="874"/>
      <c r="S635" s="781">
        <f>N635-E635</f>
        <v>0</v>
      </c>
      <c r="T635" s="677"/>
      <c r="U635" s="677"/>
      <c r="V635" s="339" t="s">
        <v>73</v>
      </c>
    </row>
    <row r="636" spans="1:22" ht="27" customHeight="1" thickBot="1" x14ac:dyDescent="0.2">
      <c r="A636" s="671" t="s">
        <v>259</v>
      </c>
      <c r="B636" s="672"/>
      <c r="C636" s="672"/>
      <c r="D636" s="673"/>
      <c r="E636" s="1016"/>
      <c r="F636" s="1017"/>
      <c r="G636" s="1018"/>
      <c r="H636" s="4" t="s">
        <v>73</v>
      </c>
      <c r="I636" s="875"/>
      <c r="J636" s="705"/>
      <c r="K636" s="706"/>
      <c r="L636" s="706"/>
      <c r="M636" s="706"/>
      <c r="N636" s="706"/>
      <c r="O636" s="706"/>
      <c r="P636" s="706"/>
      <c r="Q636" s="707"/>
      <c r="R636" s="875"/>
      <c r="S636" s="342"/>
      <c r="T636" s="343"/>
      <c r="U636" s="343"/>
      <c r="V636" s="344"/>
    </row>
    <row r="637" spans="1:22" ht="27" customHeight="1" x14ac:dyDescent="0.15">
      <c r="B637" s="54" t="s">
        <v>592</v>
      </c>
      <c r="C637" s="96"/>
      <c r="D637" s="54"/>
      <c r="E637" s="455"/>
      <c r="F637" s="455"/>
      <c r="G637" s="455"/>
      <c r="H637" s="468"/>
      <c r="I637" s="468"/>
      <c r="J637" s="468"/>
      <c r="K637" s="453"/>
      <c r="L637" s="97"/>
      <c r="M637" s="404"/>
      <c r="N637" s="404"/>
      <c r="O637" s="404"/>
      <c r="P637" s="404"/>
      <c r="Q637" s="404"/>
      <c r="R637" s="404"/>
      <c r="S637" s="404"/>
      <c r="T637" s="404"/>
      <c r="U637" s="453"/>
    </row>
    <row r="638" spans="1:22" ht="27" customHeight="1" x14ac:dyDescent="0.15">
      <c r="B638" s="1025" t="s">
        <v>258</v>
      </c>
      <c r="C638" s="1026"/>
      <c r="D638" s="1026"/>
      <c r="E638" s="1026"/>
      <c r="F638" s="1026"/>
      <c r="G638" s="1026"/>
      <c r="H638" s="1026"/>
      <c r="I638" s="1026"/>
      <c r="J638" s="1026"/>
      <c r="K638" s="1026"/>
      <c r="L638" s="1026"/>
      <c r="M638" s="1026"/>
      <c r="N638" s="1026"/>
      <c r="O638" s="1026"/>
      <c r="P638" s="1026"/>
      <c r="Q638" s="1026"/>
      <c r="R638" s="1026"/>
      <c r="S638" s="1026"/>
      <c r="T638" s="1026"/>
      <c r="U638" s="1027"/>
      <c r="V638" s="473"/>
    </row>
    <row r="639" spans="1:22" ht="27" customHeight="1" x14ac:dyDescent="0.15">
      <c r="B639" s="1028"/>
      <c r="C639" s="1029"/>
      <c r="D639" s="1029"/>
      <c r="E639" s="1029"/>
      <c r="F639" s="1029"/>
      <c r="G639" s="1029"/>
      <c r="H639" s="1029"/>
      <c r="I639" s="1029"/>
      <c r="J639" s="1029"/>
      <c r="K639" s="1029"/>
      <c r="L639" s="1029"/>
      <c r="M639" s="1029"/>
      <c r="N639" s="1029"/>
      <c r="O639" s="1029"/>
      <c r="P639" s="1029"/>
      <c r="Q639" s="1029"/>
      <c r="R639" s="1029"/>
      <c r="S639" s="1029"/>
      <c r="T639" s="1029"/>
      <c r="U639" s="1030"/>
      <c r="V639" s="473"/>
    </row>
    <row r="640" spans="1:22" ht="13.5" customHeight="1" x14ac:dyDescent="0.15">
      <c r="B640" s="125"/>
      <c r="C640" s="125"/>
      <c r="D640" s="125"/>
      <c r="E640" s="125"/>
      <c r="F640" s="125"/>
      <c r="G640" s="125"/>
      <c r="H640" s="125"/>
      <c r="I640" s="125"/>
      <c r="J640" s="125"/>
      <c r="K640" s="125"/>
      <c r="L640" s="125"/>
      <c r="M640" s="125"/>
      <c r="N640" s="125"/>
      <c r="O640" s="125"/>
      <c r="P640" s="125"/>
      <c r="Q640" s="125"/>
      <c r="R640" s="125"/>
      <c r="S640" s="125"/>
      <c r="T640" s="125"/>
      <c r="U640" s="125"/>
      <c r="V640" s="473"/>
    </row>
    <row r="641" spans="1:22" ht="13.5" hidden="1" customHeight="1" x14ac:dyDescent="0.15">
      <c r="A641" s="212"/>
      <c r="B641" s="226"/>
      <c r="C641" s="226"/>
      <c r="D641" s="226"/>
      <c r="E641" s="226"/>
      <c r="F641" s="226"/>
      <c r="G641" s="226"/>
      <c r="H641" s="226"/>
      <c r="I641" s="226"/>
      <c r="J641" s="226"/>
      <c r="K641" s="226"/>
      <c r="L641" s="226"/>
      <c r="M641" s="226"/>
      <c r="N641" s="226"/>
      <c r="O641" s="226"/>
      <c r="P641" s="226"/>
      <c r="Q641" s="226"/>
      <c r="R641" s="226"/>
      <c r="S641" s="226"/>
      <c r="T641" s="226"/>
      <c r="U641" s="226"/>
      <c r="V641" s="227"/>
    </row>
    <row r="642" spans="1:22" ht="27" hidden="1" customHeight="1" x14ac:dyDescent="0.15">
      <c r="A642" s="926" t="s">
        <v>1352</v>
      </c>
      <c r="B642" s="927"/>
      <c r="C642" s="927"/>
      <c r="D642" s="927"/>
      <c r="E642" s="927"/>
      <c r="F642" s="927"/>
      <c r="G642" s="927"/>
      <c r="H642" s="927"/>
      <c r="I642" s="928"/>
      <c r="J642" s="228" t="s">
        <v>1784</v>
      </c>
      <c r="K642" s="212"/>
      <c r="L642" s="212"/>
      <c r="M642" s="212"/>
      <c r="N642" s="212"/>
      <c r="O642" s="212"/>
      <c r="P642" s="212"/>
      <c r="Q642" s="212"/>
      <c r="R642" s="212"/>
      <c r="S642" s="212"/>
      <c r="T642" s="212"/>
      <c r="U642" s="212"/>
      <c r="V642" s="212"/>
    </row>
    <row r="643" spans="1:22" ht="13.5" hidden="1" customHeight="1" x14ac:dyDescent="0.15">
      <c r="A643" s="223"/>
      <c r="B643" s="212"/>
      <c r="C643" s="212"/>
      <c r="D643" s="212"/>
      <c r="E643" s="212"/>
      <c r="F643" s="212"/>
      <c r="G643" s="212"/>
      <c r="H643" s="212"/>
      <c r="I643" s="212"/>
      <c r="J643" s="212"/>
      <c r="K643" s="212"/>
      <c r="L643" s="212"/>
      <c r="M643" s="212"/>
      <c r="N643" s="212"/>
      <c r="O643" s="212"/>
      <c r="P643" s="212"/>
      <c r="Q643" s="212"/>
      <c r="R643" s="212"/>
      <c r="S643" s="212"/>
      <c r="T643" s="212"/>
      <c r="U643" s="212"/>
      <c r="V643" s="212"/>
    </row>
    <row r="644" spans="1:22" ht="27" hidden="1" customHeight="1" x14ac:dyDescent="0.15">
      <c r="A644" s="1006" t="s">
        <v>492</v>
      </c>
      <c r="B644" s="1006" t="s">
        <v>493</v>
      </c>
      <c r="C644" s="692" t="s">
        <v>495</v>
      </c>
      <c r="D644" s="683"/>
      <c r="E644" s="683"/>
      <c r="F644" s="690" t="s">
        <v>483</v>
      </c>
      <c r="G644" s="692"/>
      <c r="H644" s="690" t="s">
        <v>484</v>
      </c>
      <c r="I644" s="692"/>
      <c r="J644" s="691" t="s">
        <v>485</v>
      </c>
      <c r="K644" s="692"/>
      <c r="L644" s="690" t="s">
        <v>486</v>
      </c>
      <c r="M644" s="692"/>
      <c r="N644" s="691" t="s">
        <v>487</v>
      </c>
      <c r="O644" s="692"/>
      <c r="P644" s="683" t="s">
        <v>234</v>
      </c>
      <c r="Q644" s="683"/>
      <c r="R644" s="683" t="s">
        <v>488</v>
      </c>
      <c r="S644" s="690"/>
      <c r="T644" s="1065" t="s">
        <v>467</v>
      </c>
      <c r="U644" s="925"/>
      <c r="V644" s="212"/>
    </row>
    <row r="645" spans="1:22" ht="27" hidden="1" customHeight="1" x14ac:dyDescent="0.15">
      <c r="A645" s="1007"/>
      <c r="B645" s="1007"/>
      <c r="C645" s="780" t="s">
        <v>49</v>
      </c>
      <c r="D645" s="1066"/>
      <c r="E645" s="1066"/>
      <c r="F645" s="503"/>
      <c r="G645" s="229" t="s">
        <v>0</v>
      </c>
      <c r="H645" s="504"/>
      <c r="I645" s="229" t="s">
        <v>0</v>
      </c>
      <c r="J645" s="503"/>
      <c r="K645" s="229" t="s">
        <v>0</v>
      </c>
      <c r="L645" s="504"/>
      <c r="M645" s="229" t="s">
        <v>0</v>
      </c>
      <c r="N645" s="503"/>
      <c r="O645" s="229" t="s">
        <v>0</v>
      </c>
      <c r="P645" s="470"/>
      <c r="Q645" s="439" t="s">
        <v>0</v>
      </c>
      <c r="R645" s="470"/>
      <c r="S645" s="471" t="s">
        <v>0</v>
      </c>
      <c r="T645" s="230">
        <f>SUM(F645,H645,J645,L645,N645,P645,R645)</f>
        <v>0</v>
      </c>
      <c r="U645" s="439" t="s">
        <v>489</v>
      </c>
      <c r="V645" s="212"/>
    </row>
    <row r="646" spans="1:22" ht="27" hidden="1" customHeight="1" x14ac:dyDescent="0.15">
      <c r="A646" s="1007"/>
      <c r="B646" s="1007"/>
      <c r="C646" s="686" t="s">
        <v>202</v>
      </c>
      <c r="D646" s="1067"/>
      <c r="E646" s="1067"/>
      <c r="F646" s="467"/>
      <c r="G646" s="435" t="s">
        <v>0</v>
      </c>
      <c r="H646" s="466"/>
      <c r="I646" s="435" t="s">
        <v>0</v>
      </c>
      <c r="J646" s="467"/>
      <c r="K646" s="435" t="s">
        <v>0</v>
      </c>
      <c r="L646" s="466"/>
      <c r="M646" s="435" t="s">
        <v>0</v>
      </c>
      <c r="N646" s="467"/>
      <c r="O646" s="435" t="s">
        <v>0</v>
      </c>
      <c r="P646" s="466"/>
      <c r="Q646" s="435" t="s">
        <v>0</v>
      </c>
      <c r="R646" s="466"/>
      <c r="S646" s="467" t="s">
        <v>0</v>
      </c>
      <c r="T646" s="231">
        <f t="shared" ref="T646:T651" si="23">SUM(F646,H646,J646,L646,N646,P646,R646)</f>
        <v>0</v>
      </c>
      <c r="U646" s="435" t="s">
        <v>489</v>
      </c>
      <c r="V646" s="212"/>
    </row>
    <row r="647" spans="1:22" ht="27" hidden="1" customHeight="1" x14ac:dyDescent="0.15">
      <c r="A647" s="1007"/>
      <c r="B647" s="1007"/>
      <c r="C647" s="686" t="s">
        <v>203</v>
      </c>
      <c r="D647" s="1067"/>
      <c r="E647" s="1067"/>
      <c r="F647" s="467"/>
      <c r="G647" s="435" t="s">
        <v>0</v>
      </c>
      <c r="H647" s="466"/>
      <c r="I647" s="435" t="s">
        <v>0</v>
      </c>
      <c r="J647" s="467"/>
      <c r="K647" s="435" t="s">
        <v>0</v>
      </c>
      <c r="L647" s="466"/>
      <c r="M647" s="435" t="s">
        <v>0</v>
      </c>
      <c r="N647" s="467"/>
      <c r="O647" s="435" t="s">
        <v>0</v>
      </c>
      <c r="P647" s="466"/>
      <c r="Q647" s="435" t="s">
        <v>0</v>
      </c>
      <c r="R647" s="466"/>
      <c r="S647" s="467" t="s">
        <v>0</v>
      </c>
      <c r="T647" s="231">
        <f t="shared" si="23"/>
        <v>0</v>
      </c>
      <c r="U647" s="435" t="s">
        <v>489</v>
      </c>
      <c r="V647" s="212"/>
    </row>
    <row r="648" spans="1:22" ht="27" hidden="1" customHeight="1" x14ac:dyDescent="0.15">
      <c r="A648" s="1007"/>
      <c r="B648" s="1007"/>
      <c r="C648" s="686" t="s">
        <v>204</v>
      </c>
      <c r="D648" s="1067"/>
      <c r="E648" s="1067"/>
      <c r="F648" s="467"/>
      <c r="G648" s="435" t="s">
        <v>0</v>
      </c>
      <c r="H648" s="466"/>
      <c r="I648" s="435" t="s">
        <v>0</v>
      </c>
      <c r="J648" s="467"/>
      <c r="K648" s="435" t="s">
        <v>0</v>
      </c>
      <c r="L648" s="466"/>
      <c r="M648" s="435" t="s">
        <v>0</v>
      </c>
      <c r="N648" s="467"/>
      <c r="O648" s="435" t="s">
        <v>0</v>
      </c>
      <c r="P648" s="466"/>
      <c r="Q648" s="435" t="s">
        <v>0</v>
      </c>
      <c r="R648" s="466"/>
      <c r="S648" s="467" t="s">
        <v>0</v>
      </c>
      <c r="T648" s="231">
        <f t="shared" si="23"/>
        <v>0</v>
      </c>
      <c r="U648" s="435" t="s">
        <v>489</v>
      </c>
      <c r="V648" s="212"/>
    </row>
    <row r="649" spans="1:22" ht="27" hidden="1" customHeight="1" x14ac:dyDescent="0.15">
      <c r="A649" s="1007"/>
      <c r="B649" s="1007"/>
      <c r="C649" s="686" t="s">
        <v>205</v>
      </c>
      <c r="D649" s="1067"/>
      <c r="E649" s="1067"/>
      <c r="F649" s="467"/>
      <c r="G649" s="435" t="s">
        <v>0</v>
      </c>
      <c r="H649" s="466"/>
      <c r="I649" s="435" t="s">
        <v>0</v>
      </c>
      <c r="J649" s="467"/>
      <c r="K649" s="435" t="s">
        <v>0</v>
      </c>
      <c r="L649" s="466"/>
      <c r="M649" s="435" t="s">
        <v>0</v>
      </c>
      <c r="N649" s="467"/>
      <c r="O649" s="435" t="s">
        <v>0</v>
      </c>
      <c r="P649" s="466"/>
      <c r="Q649" s="435" t="s">
        <v>0</v>
      </c>
      <c r="R649" s="466"/>
      <c r="S649" s="467" t="s">
        <v>0</v>
      </c>
      <c r="T649" s="231">
        <f t="shared" si="23"/>
        <v>0</v>
      </c>
      <c r="U649" s="435" t="s">
        <v>489</v>
      </c>
      <c r="V649" s="212"/>
    </row>
    <row r="650" spans="1:22" ht="27" hidden="1" customHeight="1" thickBot="1" x14ac:dyDescent="0.2">
      <c r="A650" s="1007"/>
      <c r="B650" s="1007"/>
      <c r="C650" s="1068" t="s">
        <v>206</v>
      </c>
      <c r="D650" s="1069"/>
      <c r="E650" s="1069"/>
      <c r="F650" s="232"/>
      <c r="G650" s="437" t="s">
        <v>0</v>
      </c>
      <c r="H650" s="505"/>
      <c r="I650" s="437" t="s">
        <v>0</v>
      </c>
      <c r="J650" s="232"/>
      <c r="K650" s="437" t="s">
        <v>0</v>
      </c>
      <c r="L650" s="505"/>
      <c r="M650" s="437" t="s">
        <v>0</v>
      </c>
      <c r="N650" s="232"/>
      <c r="O650" s="437" t="s">
        <v>0</v>
      </c>
      <c r="P650" s="505"/>
      <c r="Q650" s="437" t="s">
        <v>0</v>
      </c>
      <c r="R650" s="505"/>
      <c r="S650" s="232" t="s">
        <v>0</v>
      </c>
      <c r="T650" s="233">
        <f t="shared" si="23"/>
        <v>0</v>
      </c>
      <c r="U650" s="437" t="s">
        <v>489</v>
      </c>
      <c r="V650" s="212"/>
    </row>
    <row r="651" spans="1:22" ht="27" hidden="1" customHeight="1" thickTop="1" x14ac:dyDescent="0.15">
      <c r="A651" s="1007"/>
      <c r="B651" s="1008"/>
      <c r="C651" s="1004" t="s">
        <v>410</v>
      </c>
      <c r="D651" s="1005"/>
      <c r="E651" s="1005"/>
      <c r="F651" s="234" t="str">
        <f>IF(F645+F646+F647+F648+F649+F650=0,"",F645+F646+F647+F648+F649+F650)</f>
        <v/>
      </c>
      <c r="G651" s="234" t="s">
        <v>0</v>
      </c>
      <c r="H651" s="506" t="str">
        <f>IF(H645+H646+H647+H648+H649+H650=0,"",H645+H646+H647+H648+H649+H650)</f>
        <v/>
      </c>
      <c r="I651" s="462" t="s">
        <v>0</v>
      </c>
      <c r="J651" s="234" t="str">
        <f>IF(J645+J646+J647+J648+J649+J650=0,"",J645+J646+J647+J648+J649+J650)</f>
        <v/>
      </c>
      <c r="K651" s="234" t="s">
        <v>0</v>
      </c>
      <c r="L651" s="506" t="str">
        <f>IF(L645+L646+L647+L648+L649+L650=0,"",L645+L646+L647+L648+L649+L650)</f>
        <v/>
      </c>
      <c r="M651" s="462" t="s">
        <v>0</v>
      </c>
      <c r="N651" s="234" t="str">
        <f>IF(N645+N646+N647+N648+N649+N650=0,"",N645+N646+N647+N648+N649+N650)</f>
        <v/>
      </c>
      <c r="O651" s="234" t="s">
        <v>0</v>
      </c>
      <c r="P651" s="506" t="str">
        <f>IF(P645+P646+P647+P648+P649+P650=0,"",P645+P646+P647+P648+P649+P650)</f>
        <v/>
      </c>
      <c r="Q651" s="462" t="s">
        <v>0</v>
      </c>
      <c r="R651" s="506" t="str">
        <f>IF(R645+R646+R647+R648+R649+R650=0,"",R645+R646+R647+R648+R649+R650)</f>
        <v/>
      </c>
      <c r="S651" s="234" t="s">
        <v>0</v>
      </c>
      <c r="T651" s="235">
        <f t="shared" si="23"/>
        <v>0</v>
      </c>
      <c r="U651" s="462" t="s">
        <v>489</v>
      </c>
      <c r="V651" s="212"/>
    </row>
    <row r="652" spans="1:22" ht="27" hidden="1" customHeight="1" x14ac:dyDescent="0.15">
      <c r="A652" s="1007"/>
      <c r="B652" s="1006" t="s">
        <v>494</v>
      </c>
      <c r="C652" s="692" t="s">
        <v>495</v>
      </c>
      <c r="D652" s="683"/>
      <c r="E652" s="683"/>
      <c r="F652" s="690" t="s">
        <v>483</v>
      </c>
      <c r="G652" s="692"/>
      <c r="H652" s="690" t="s">
        <v>484</v>
      </c>
      <c r="I652" s="692"/>
      <c r="J652" s="691" t="s">
        <v>485</v>
      </c>
      <c r="K652" s="692"/>
      <c r="L652" s="690" t="s">
        <v>486</v>
      </c>
      <c r="M652" s="692"/>
      <c r="N652" s="691" t="s">
        <v>487</v>
      </c>
      <c r="O652" s="692"/>
      <c r="P652" s="683" t="s">
        <v>234</v>
      </c>
      <c r="Q652" s="683"/>
      <c r="R652" s="683" t="s">
        <v>488</v>
      </c>
      <c r="S652" s="690"/>
      <c r="T652" s="1065" t="s">
        <v>467</v>
      </c>
      <c r="U652" s="925"/>
      <c r="V652" s="212"/>
    </row>
    <row r="653" spans="1:22" ht="27" hidden="1" customHeight="1" x14ac:dyDescent="0.15">
      <c r="A653" s="1007"/>
      <c r="B653" s="1007"/>
      <c r="C653" s="780" t="s">
        <v>49</v>
      </c>
      <c r="D653" s="1066"/>
      <c r="E653" s="1066"/>
      <c r="F653" s="503"/>
      <c r="G653" s="229" t="s">
        <v>0</v>
      </c>
      <c r="H653" s="504"/>
      <c r="I653" s="229" t="s">
        <v>0</v>
      </c>
      <c r="J653" s="503"/>
      <c r="K653" s="229" t="s">
        <v>0</v>
      </c>
      <c r="L653" s="504"/>
      <c r="M653" s="229" t="s">
        <v>0</v>
      </c>
      <c r="N653" s="503"/>
      <c r="O653" s="229" t="s">
        <v>0</v>
      </c>
      <c r="P653" s="470"/>
      <c r="Q653" s="439" t="s">
        <v>0</v>
      </c>
      <c r="R653" s="470"/>
      <c r="S653" s="471" t="s">
        <v>0</v>
      </c>
      <c r="T653" s="230">
        <f>SUM(F653,H653,J653,L653,N653,P653,R653)</f>
        <v>0</v>
      </c>
      <c r="U653" s="439" t="s">
        <v>489</v>
      </c>
      <c r="V653" s="212"/>
    </row>
    <row r="654" spans="1:22" ht="27" hidden="1" customHeight="1" x14ac:dyDescent="0.15">
      <c r="A654" s="1007"/>
      <c r="B654" s="1007"/>
      <c r="C654" s="686" t="s">
        <v>202</v>
      </c>
      <c r="D654" s="1067"/>
      <c r="E654" s="1067"/>
      <c r="F654" s="467"/>
      <c r="G654" s="435" t="s">
        <v>0</v>
      </c>
      <c r="H654" s="466"/>
      <c r="I654" s="435" t="s">
        <v>0</v>
      </c>
      <c r="J654" s="467"/>
      <c r="K654" s="435" t="s">
        <v>0</v>
      </c>
      <c r="L654" s="466"/>
      <c r="M654" s="435" t="s">
        <v>0</v>
      </c>
      <c r="N654" s="467"/>
      <c r="O654" s="435" t="s">
        <v>0</v>
      </c>
      <c r="P654" s="466"/>
      <c r="Q654" s="435" t="s">
        <v>0</v>
      </c>
      <c r="R654" s="466"/>
      <c r="S654" s="467" t="s">
        <v>0</v>
      </c>
      <c r="T654" s="231">
        <f t="shared" ref="T654:T659" si="24">SUM(F654,H654,J654,L654,N654,P654,R654)</f>
        <v>0</v>
      </c>
      <c r="U654" s="435" t="s">
        <v>489</v>
      </c>
      <c r="V654" s="212"/>
    </row>
    <row r="655" spans="1:22" ht="27" hidden="1" customHeight="1" x14ac:dyDescent="0.15">
      <c r="A655" s="1007"/>
      <c r="B655" s="1007"/>
      <c r="C655" s="686" t="s">
        <v>203</v>
      </c>
      <c r="D655" s="1067"/>
      <c r="E655" s="1067"/>
      <c r="F655" s="467"/>
      <c r="G655" s="435" t="s">
        <v>0</v>
      </c>
      <c r="H655" s="466"/>
      <c r="I655" s="435" t="s">
        <v>0</v>
      </c>
      <c r="J655" s="467"/>
      <c r="K655" s="435" t="s">
        <v>0</v>
      </c>
      <c r="L655" s="466"/>
      <c r="M655" s="435" t="s">
        <v>0</v>
      </c>
      <c r="N655" s="467"/>
      <c r="O655" s="435" t="s">
        <v>0</v>
      </c>
      <c r="P655" s="466"/>
      <c r="Q655" s="435" t="s">
        <v>0</v>
      </c>
      <c r="R655" s="466"/>
      <c r="S655" s="467" t="s">
        <v>0</v>
      </c>
      <c r="T655" s="231">
        <f t="shared" si="24"/>
        <v>0</v>
      </c>
      <c r="U655" s="435" t="s">
        <v>489</v>
      </c>
      <c r="V655" s="212"/>
    </row>
    <row r="656" spans="1:22" ht="27" hidden="1" customHeight="1" x14ac:dyDescent="0.15">
      <c r="A656" s="1007"/>
      <c r="B656" s="1007"/>
      <c r="C656" s="686" t="s">
        <v>204</v>
      </c>
      <c r="D656" s="1067"/>
      <c r="E656" s="1067"/>
      <c r="F656" s="467"/>
      <c r="G656" s="435" t="s">
        <v>0</v>
      </c>
      <c r="H656" s="466"/>
      <c r="I656" s="435" t="s">
        <v>0</v>
      </c>
      <c r="J656" s="467"/>
      <c r="K656" s="435" t="s">
        <v>0</v>
      </c>
      <c r="L656" s="466"/>
      <c r="M656" s="435" t="s">
        <v>0</v>
      </c>
      <c r="N656" s="467"/>
      <c r="O656" s="435" t="s">
        <v>0</v>
      </c>
      <c r="P656" s="466"/>
      <c r="Q656" s="435" t="s">
        <v>0</v>
      </c>
      <c r="R656" s="466"/>
      <c r="S656" s="467" t="s">
        <v>0</v>
      </c>
      <c r="T656" s="231">
        <f t="shared" si="24"/>
        <v>0</v>
      </c>
      <c r="U656" s="435" t="s">
        <v>489</v>
      </c>
      <c r="V656" s="212"/>
    </row>
    <row r="657" spans="1:46" ht="27" hidden="1" customHeight="1" x14ac:dyDescent="0.15">
      <c r="A657" s="1007"/>
      <c r="B657" s="1007"/>
      <c r="C657" s="686" t="s">
        <v>205</v>
      </c>
      <c r="D657" s="1067"/>
      <c r="E657" s="1067"/>
      <c r="F657" s="467"/>
      <c r="G657" s="435" t="s">
        <v>0</v>
      </c>
      <c r="H657" s="466"/>
      <c r="I657" s="435" t="s">
        <v>0</v>
      </c>
      <c r="J657" s="467"/>
      <c r="K657" s="435" t="s">
        <v>0</v>
      </c>
      <c r="L657" s="466"/>
      <c r="M657" s="435" t="s">
        <v>0</v>
      </c>
      <c r="N657" s="467"/>
      <c r="O657" s="435" t="s">
        <v>0</v>
      </c>
      <c r="P657" s="466"/>
      <c r="Q657" s="435" t="s">
        <v>0</v>
      </c>
      <c r="R657" s="466"/>
      <c r="S657" s="467" t="s">
        <v>0</v>
      </c>
      <c r="T657" s="231">
        <f t="shared" si="24"/>
        <v>0</v>
      </c>
      <c r="U657" s="435" t="s">
        <v>489</v>
      </c>
      <c r="V657" s="212"/>
    </row>
    <row r="658" spans="1:46" ht="27" hidden="1" customHeight="1" thickBot="1" x14ac:dyDescent="0.2">
      <c r="A658" s="1007"/>
      <c r="B658" s="1007"/>
      <c r="C658" s="1068" t="s">
        <v>206</v>
      </c>
      <c r="D658" s="1069"/>
      <c r="E658" s="1069"/>
      <c r="F658" s="232"/>
      <c r="G658" s="437" t="s">
        <v>0</v>
      </c>
      <c r="H658" s="505"/>
      <c r="I658" s="437" t="s">
        <v>0</v>
      </c>
      <c r="J658" s="232"/>
      <c r="K658" s="437" t="s">
        <v>0</v>
      </c>
      <c r="L658" s="505"/>
      <c r="M658" s="437" t="s">
        <v>0</v>
      </c>
      <c r="N658" s="232"/>
      <c r="O658" s="437" t="s">
        <v>0</v>
      </c>
      <c r="P658" s="505"/>
      <c r="Q658" s="437" t="s">
        <v>0</v>
      </c>
      <c r="R658" s="505"/>
      <c r="S658" s="232" t="s">
        <v>0</v>
      </c>
      <c r="T658" s="233">
        <f t="shared" si="24"/>
        <v>0</v>
      </c>
      <c r="U658" s="437" t="s">
        <v>489</v>
      </c>
      <c r="V658" s="212"/>
    </row>
    <row r="659" spans="1:46" ht="27" hidden="1" customHeight="1" thickTop="1" x14ac:dyDescent="0.15">
      <c r="A659" s="1008"/>
      <c r="B659" s="1008"/>
      <c r="C659" s="1004" t="s">
        <v>410</v>
      </c>
      <c r="D659" s="1005"/>
      <c r="E659" s="1005"/>
      <c r="F659" s="234" t="str">
        <f>IF(F653+F654+F655+F656+F657+F658=0,"",F653+F654+F655+F656+F657+F658)</f>
        <v/>
      </c>
      <c r="G659" s="234" t="s">
        <v>0</v>
      </c>
      <c r="H659" s="506" t="str">
        <f>IF(H653+H654+H655+H656+H657+H658=0,"",H653+H654+H655+H656+H657+H658)</f>
        <v/>
      </c>
      <c r="I659" s="462" t="s">
        <v>0</v>
      </c>
      <c r="J659" s="234" t="str">
        <f>IF(J653+J654+J655+J656+J657+J658=0,"",J653+J654+J655+J656+J657+J658)</f>
        <v/>
      </c>
      <c r="K659" s="234" t="s">
        <v>0</v>
      </c>
      <c r="L659" s="506" t="str">
        <f>IF(L653+L654+L655+L656+L657+L658=0,"",L653+L654+L655+L656+L657+L658)</f>
        <v/>
      </c>
      <c r="M659" s="462" t="s">
        <v>0</v>
      </c>
      <c r="N659" s="234" t="str">
        <f>IF(N653+N654+N655+N656+N657+N658=0,"",N653+N654+N655+N656+N657+N658)</f>
        <v/>
      </c>
      <c r="O659" s="234" t="s">
        <v>0</v>
      </c>
      <c r="P659" s="506" t="str">
        <f>IF(P653+P654+P655+P656+P657+P658=0,"",P653+P654+P655+P656+P657+P658)</f>
        <v/>
      </c>
      <c r="Q659" s="462" t="s">
        <v>0</v>
      </c>
      <c r="R659" s="506" t="str">
        <f>IF(R653+R654+R655+R656+R657+R658=0,"",R653+R654+R655+R656+R657+R658)</f>
        <v/>
      </c>
      <c r="S659" s="234" t="s">
        <v>0</v>
      </c>
      <c r="T659" s="235">
        <f t="shared" si="24"/>
        <v>0</v>
      </c>
      <c r="U659" s="462" t="s">
        <v>489</v>
      </c>
      <c r="V659" s="212"/>
    </row>
    <row r="660" spans="1:46" s="36" customFormat="1" ht="30" hidden="1" customHeight="1" x14ac:dyDescent="0.15">
      <c r="A660" s="236"/>
      <c r="B660" s="210"/>
      <c r="C660" s="210"/>
      <c r="D660" s="210"/>
      <c r="E660" s="210"/>
      <c r="F660" s="210"/>
      <c r="G660" s="210"/>
      <c r="H660" s="210"/>
      <c r="I660" s="210"/>
      <c r="J660" s="210"/>
      <c r="K660" s="210"/>
      <c r="L660" s="210"/>
      <c r="M660" s="210"/>
      <c r="N660" s="210"/>
      <c r="O660" s="210"/>
      <c r="P660" s="210"/>
      <c r="Q660" s="210"/>
      <c r="R660" s="210"/>
      <c r="S660" s="210"/>
      <c r="T660" s="210"/>
      <c r="U660" s="210"/>
      <c r="V660" s="214"/>
      <c r="W660" s="381"/>
      <c r="X660" s="381"/>
      <c r="Y660" s="381"/>
      <c r="Z660" s="381"/>
      <c r="AA660" s="381"/>
      <c r="AB660" s="381"/>
      <c r="AC660" s="381"/>
      <c r="AD660" s="381"/>
      <c r="AE660" s="381"/>
      <c r="AF660" s="381"/>
      <c r="AG660" s="381"/>
      <c r="AH660" s="381"/>
      <c r="AI660" s="381"/>
      <c r="AJ660" s="381"/>
      <c r="AK660" s="381"/>
      <c r="AL660" s="381"/>
      <c r="AM660" s="381"/>
      <c r="AN660" s="381"/>
      <c r="AO660" s="381"/>
      <c r="AP660" s="381"/>
      <c r="AQ660" s="381"/>
      <c r="AR660" s="381"/>
      <c r="AS660" s="381"/>
      <c r="AT660" s="381"/>
    </row>
    <row r="661" spans="1:46" ht="27" hidden="1" customHeight="1" x14ac:dyDescent="0.15">
      <c r="A661" s="1061" t="s">
        <v>1353</v>
      </c>
      <c r="B661" s="1061"/>
      <c r="C661" s="1061"/>
      <c r="D661" s="1061"/>
      <c r="E661" s="1061"/>
      <c r="F661" s="1061"/>
      <c r="G661" s="1061"/>
      <c r="H661" s="214"/>
      <c r="I661" s="212"/>
      <c r="J661" s="212"/>
      <c r="K661" s="212"/>
      <c r="L661" s="212"/>
      <c r="M661" s="212"/>
      <c r="N661" s="212"/>
      <c r="O661" s="212"/>
      <c r="P661" s="212"/>
      <c r="Q661" s="212"/>
      <c r="R661" s="212"/>
      <c r="S661" s="212"/>
      <c r="T661" s="212"/>
      <c r="U661" s="212"/>
      <c r="V661" s="212"/>
    </row>
    <row r="662" spans="1:46" ht="13.5" hidden="1" customHeight="1" x14ac:dyDescent="0.15">
      <c r="A662" s="212" t="s">
        <v>72</v>
      </c>
      <c r="B662" s="212" t="s">
        <v>1788</v>
      </c>
      <c r="C662" s="237"/>
      <c r="D662" s="237"/>
      <c r="E662" s="237"/>
      <c r="F662" s="237"/>
      <c r="G662" s="237"/>
      <c r="H662" s="237"/>
      <c r="I662" s="237"/>
      <c r="J662" s="237"/>
      <c r="K662" s="237"/>
      <c r="L662" s="237"/>
      <c r="M662" s="237"/>
      <c r="N662" s="237"/>
      <c r="O662" s="237"/>
      <c r="P662" s="237"/>
      <c r="Q662" s="237"/>
      <c r="R662" s="237"/>
      <c r="S662" s="237"/>
      <c r="T662" s="237"/>
      <c r="U662" s="212"/>
      <c r="V662" s="212"/>
    </row>
    <row r="663" spans="1:46" ht="13.5" hidden="1" customHeight="1" x14ac:dyDescent="0.15">
      <c r="A663" s="212" t="s">
        <v>499</v>
      </c>
      <c r="B663" s="1024" t="s">
        <v>500</v>
      </c>
      <c r="C663" s="1024"/>
      <c r="D663" s="1024"/>
      <c r="E663" s="1024"/>
      <c r="F663" s="1024"/>
      <c r="G663" s="1024"/>
      <c r="H663" s="1024"/>
      <c r="I663" s="1024"/>
      <c r="J663" s="1024"/>
      <c r="K663" s="1024"/>
      <c r="L663" s="1024"/>
      <c r="M663" s="1024"/>
      <c r="N663" s="1024"/>
      <c r="O663" s="1024"/>
      <c r="P663" s="1024"/>
      <c r="Q663" s="1024"/>
      <c r="R663" s="1024"/>
      <c r="S663" s="1024"/>
      <c r="T663" s="1024"/>
      <c r="U663" s="1024"/>
      <c r="V663" s="1024"/>
    </row>
    <row r="664" spans="1:46" ht="13.5" hidden="1" customHeight="1" x14ac:dyDescent="0.15">
      <c r="A664" s="212"/>
      <c r="B664" s="1024"/>
      <c r="C664" s="1024"/>
      <c r="D664" s="1024"/>
      <c r="E664" s="1024"/>
      <c r="F664" s="1024"/>
      <c r="G664" s="1024"/>
      <c r="H664" s="1024"/>
      <c r="I664" s="1024"/>
      <c r="J664" s="1024"/>
      <c r="K664" s="1024"/>
      <c r="L664" s="1024"/>
      <c r="M664" s="1024"/>
      <c r="N664" s="1024"/>
      <c r="O664" s="1024"/>
      <c r="P664" s="1024"/>
      <c r="Q664" s="1024"/>
      <c r="R664" s="1024"/>
      <c r="S664" s="1024"/>
      <c r="T664" s="1024"/>
      <c r="U664" s="1024"/>
      <c r="V664" s="1024"/>
    </row>
    <row r="665" spans="1:46" ht="13.5" hidden="1" customHeight="1" x14ac:dyDescent="0.15">
      <c r="A665" s="212"/>
      <c r="B665" s="238"/>
      <c r="C665" s="238"/>
      <c r="D665" s="464"/>
      <c r="E665" s="464"/>
      <c r="F665" s="464"/>
      <c r="G665" s="238"/>
      <c r="H665" s="238"/>
      <c r="I665" s="238"/>
      <c r="J665" s="238"/>
      <c r="K665" s="238"/>
      <c r="L665" s="238"/>
      <c r="M665" s="238"/>
      <c r="N665" s="238"/>
      <c r="O665" s="238"/>
      <c r="P665" s="238"/>
      <c r="Q665" s="238"/>
      <c r="R665" s="238"/>
      <c r="S665" s="238"/>
      <c r="T665" s="238"/>
      <c r="U665" s="238"/>
      <c r="V665" s="238"/>
    </row>
    <row r="666" spans="1:46" ht="30" hidden="1" customHeight="1" x14ac:dyDescent="0.15">
      <c r="A666" s="816" t="s">
        <v>495</v>
      </c>
      <c r="B666" s="817"/>
      <c r="C666" s="818"/>
      <c r="D666" s="816" t="s">
        <v>497</v>
      </c>
      <c r="E666" s="818"/>
      <c r="F666" s="816" t="s">
        <v>599</v>
      </c>
      <c r="G666" s="818"/>
      <c r="H666" s="816" t="s">
        <v>509</v>
      </c>
      <c r="I666" s="817"/>
      <c r="J666" s="817"/>
      <c r="K666" s="818"/>
      <c r="L666" s="816" t="s">
        <v>644</v>
      </c>
      <c r="M666" s="817"/>
      <c r="N666" s="817"/>
      <c r="O666" s="818"/>
      <c r="P666" s="878" t="s">
        <v>510</v>
      </c>
      <c r="Q666" s="879"/>
      <c r="R666" s="880"/>
      <c r="S666" s="925" t="s">
        <v>508</v>
      </c>
      <c r="T666" s="925"/>
      <c r="U666" s="925"/>
      <c r="V666" s="925"/>
    </row>
    <row r="667" spans="1:46" ht="24.95" hidden="1" customHeight="1" x14ac:dyDescent="0.15">
      <c r="A667" s="779" t="s">
        <v>115</v>
      </c>
      <c r="B667" s="822"/>
      <c r="C667" s="780"/>
      <c r="D667" s="507"/>
      <c r="E667" s="439" t="s">
        <v>498</v>
      </c>
      <c r="F667" s="779"/>
      <c r="G667" s="780"/>
      <c r="H667" s="776"/>
      <c r="I667" s="777"/>
      <c r="J667" s="778"/>
      <c r="K667" s="440" t="s">
        <v>73</v>
      </c>
      <c r="L667" s="776"/>
      <c r="M667" s="777"/>
      <c r="N667" s="778"/>
      <c r="O667" s="440" t="s">
        <v>73</v>
      </c>
      <c r="P667" s="776"/>
      <c r="Q667" s="778"/>
      <c r="R667" s="440" t="s">
        <v>73</v>
      </c>
      <c r="S667" s="1062">
        <f t="shared" ref="S667:S673" si="25">SUM(H667,L667)</f>
        <v>0</v>
      </c>
      <c r="T667" s="1063"/>
      <c r="U667" s="1064"/>
      <c r="V667" s="440" t="s">
        <v>482</v>
      </c>
    </row>
    <row r="668" spans="1:46" ht="24.95" hidden="1" customHeight="1" x14ac:dyDescent="0.15">
      <c r="A668" s="684" t="s">
        <v>230</v>
      </c>
      <c r="B668" s="685"/>
      <c r="C668" s="686"/>
      <c r="D668" s="508"/>
      <c r="E668" s="435" t="s">
        <v>498</v>
      </c>
      <c r="F668" s="684"/>
      <c r="G668" s="686"/>
      <c r="H668" s="819"/>
      <c r="I668" s="820"/>
      <c r="J668" s="821"/>
      <c r="K668" s="436" t="s">
        <v>73</v>
      </c>
      <c r="L668" s="819"/>
      <c r="M668" s="820"/>
      <c r="N668" s="821"/>
      <c r="O668" s="436" t="s">
        <v>73</v>
      </c>
      <c r="P668" s="819"/>
      <c r="Q668" s="821"/>
      <c r="R668" s="436" t="s">
        <v>73</v>
      </c>
      <c r="S668" s="1055">
        <f t="shared" si="25"/>
        <v>0</v>
      </c>
      <c r="T668" s="1056"/>
      <c r="U668" s="1057"/>
      <c r="V668" s="436" t="s">
        <v>482</v>
      </c>
    </row>
    <row r="669" spans="1:46" ht="24.95" hidden="1" customHeight="1" x14ac:dyDescent="0.15">
      <c r="A669" s="684" t="s">
        <v>231</v>
      </c>
      <c r="B669" s="685"/>
      <c r="C669" s="686"/>
      <c r="D669" s="508"/>
      <c r="E669" s="435" t="s">
        <v>498</v>
      </c>
      <c r="F669" s="684"/>
      <c r="G669" s="686"/>
      <c r="H669" s="819"/>
      <c r="I669" s="820"/>
      <c r="J669" s="821"/>
      <c r="K669" s="436" t="s">
        <v>73</v>
      </c>
      <c r="L669" s="819"/>
      <c r="M669" s="820"/>
      <c r="N669" s="821"/>
      <c r="O669" s="436" t="s">
        <v>73</v>
      </c>
      <c r="P669" s="819"/>
      <c r="Q669" s="821"/>
      <c r="R669" s="436" t="s">
        <v>73</v>
      </c>
      <c r="S669" s="1055">
        <f t="shared" si="25"/>
        <v>0</v>
      </c>
      <c r="T669" s="1056"/>
      <c r="U669" s="1057"/>
      <c r="V669" s="436" t="s">
        <v>482</v>
      </c>
    </row>
    <row r="670" spans="1:46" ht="24.95" hidden="1" customHeight="1" x14ac:dyDescent="0.15">
      <c r="A670" s="684" t="s">
        <v>232</v>
      </c>
      <c r="B670" s="685"/>
      <c r="C670" s="686"/>
      <c r="D670" s="508"/>
      <c r="E670" s="435" t="s">
        <v>498</v>
      </c>
      <c r="F670" s="684"/>
      <c r="G670" s="686"/>
      <c r="H670" s="819"/>
      <c r="I670" s="820"/>
      <c r="J670" s="821"/>
      <c r="K670" s="436" t="s">
        <v>73</v>
      </c>
      <c r="L670" s="819"/>
      <c r="M670" s="820"/>
      <c r="N670" s="821"/>
      <c r="O670" s="436" t="s">
        <v>73</v>
      </c>
      <c r="P670" s="819"/>
      <c r="Q670" s="821"/>
      <c r="R670" s="436" t="s">
        <v>73</v>
      </c>
      <c r="S670" s="1055">
        <f t="shared" si="25"/>
        <v>0</v>
      </c>
      <c r="T670" s="1056"/>
      <c r="U670" s="1057"/>
      <c r="V670" s="436" t="s">
        <v>482</v>
      </c>
    </row>
    <row r="671" spans="1:46" ht="24.95" hidden="1" customHeight="1" x14ac:dyDescent="0.15">
      <c r="A671" s="684" t="s">
        <v>233</v>
      </c>
      <c r="B671" s="685"/>
      <c r="C671" s="686"/>
      <c r="D671" s="508"/>
      <c r="E671" s="435" t="s">
        <v>498</v>
      </c>
      <c r="F671" s="684"/>
      <c r="G671" s="686"/>
      <c r="H671" s="819"/>
      <c r="I671" s="820"/>
      <c r="J671" s="821"/>
      <c r="K671" s="436" t="s">
        <v>73</v>
      </c>
      <c r="L671" s="819"/>
      <c r="M671" s="820"/>
      <c r="N671" s="821"/>
      <c r="O671" s="436" t="s">
        <v>73</v>
      </c>
      <c r="P671" s="819"/>
      <c r="Q671" s="821"/>
      <c r="R671" s="436" t="s">
        <v>73</v>
      </c>
      <c r="S671" s="1055">
        <f t="shared" si="25"/>
        <v>0</v>
      </c>
      <c r="T671" s="1056"/>
      <c r="U671" s="1057"/>
      <c r="V671" s="436" t="s">
        <v>482</v>
      </c>
    </row>
    <row r="672" spans="1:46" ht="24.95" hidden="1" customHeight="1" x14ac:dyDescent="0.15">
      <c r="A672" s="684" t="s">
        <v>234</v>
      </c>
      <c r="B672" s="685"/>
      <c r="C672" s="686"/>
      <c r="D672" s="508"/>
      <c r="E672" s="435" t="s">
        <v>498</v>
      </c>
      <c r="F672" s="684"/>
      <c r="G672" s="686"/>
      <c r="H672" s="819"/>
      <c r="I672" s="820"/>
      <c r="J672" s="821"/>
      <c r="K672" s="436" t="s">
        <v>73</v>
      </c>
      <c r="L672" s="819"/>
      <c r="M672" s="820"/>
      <c r="N672" s="821"/>
      <c r="O672" s="436" t="s">
        <v>73</v>
      </c>
      <c r="P672" s="819"/>
      <c r="Q672" s="821"/>
      <c r="R672" s="436" t="s">
        <v>73</v>
      </c>
      <c r="S672" s="1055">
        <f t="shared" si="25"/>
        <v>0</v>
      </c>
      <c r="T672" s="1056"/>
      <c r="U672" s="1057"/>
      <c r="V672" s="436" t="s">
        <v>482</v>
      </c>
    </row>
    <row r="673" spans="1:46" ht="24.95" hidden="1" customHeight="1" x14ac:dyDescent="0.15">
      <c r="A673" s="687" t="s">
        <v>163</v>
      </c>
      <c r="B673" s="688"/>
      <c r="C673" s="689"/>
      <c r="D673" s="509"/>
      <c r="E673" s="469" t="s">
        <v>498</v>
      </c>
      <c r="F673" s="687"/>
      <c r="G673" s="689"/>
      <c r="H673" s="823"/>
      <c r="I673" s="825"/>
      <c r="J673" s="824"/>
      <c r="K673" s="215" t="s">
        <v>73</v>
      </c>
      <c r="L673" s="823"/>
      <c r="M673" s="825"/>
      <c r="N673" s="824"/>
      <c r="O673" s="215" t="s">
        <v>73</v>
      </c>
      <c r="P673" s="823"/>
      <c r="Q673" s="824"/>
      <c r="R673" s="215" t="s">
        <v>73</v>
      </c>
      <c r="S673" s="1052">
        <f t="shared" si="25"/>
        <v>0</v>
      </c>
      <c r="T673" s="1053"/>
      <c r="U673" s="1054"/>
      <c r="V673" s="215" t="s">
        <v>482</v>
      </c>
    </row>
    <row r="674" spans="1:46" s="36" customFormat="1" ht="13.5" hidden="1" customHeight="1" x14ac:dyDescent="0.15">
      <c r="A674" s="214"/>
      <c r="B674" s="214"/>
      <c r="C674" s="214"/>
      <c r="D674" s="214"/>
      <c r="E674" s="214"/>
      <c r="F674" s="210"/>
      <c r="G674" s="210"/>
      <c r="H674" s="210"/>
      <c r="I674" s="209"/>
      <c r="J674" s="209"/>
      <c r="K674" s="209"/>
      <c r="L674" s="210"/>
      <c r="M674" s="209"/>
      <c r="N674" s="209"/>
      <c r="O674" s="209"/>
      <c r="P674" s="210"/>
      <c r="Q674" s="239"/>
      <c r="R674" s="211"/>
      <c r="S674" s="211"/>
      <c r="T674" s="210"/>
      <c r="U674" s="214"/>
      <c r="V674" s="214"/>
      <c r="W674" s="381"/>
      <c r="X674" s="381"/>
      <c r="Y674" s="381"/>
      <c r="Z674" s="381"/>
      <c r="AA674" s="381"/>
      <c r="AB674" s="381"/>
      <c r="AC674" s="381"/>
      <c r="AD674" s="381"/>
      <c r="AE674" s="381"/>
      <c r="AF674" s="381"/>
      <c r="AG674" s="381"/>
      <c r="AH674" s="381"/>
      <c r="AI674" s="381"/>
      <c r="AJ674" s="381"/>
      <c r="AK674" s="381"/>
      <c r="AL674" s="381"/>
      <c r="AM674" s="381"/>
      <c r="AN674" s="381"/>
      <c r="AO674" s="381"/>
      <c r="AP674" s="381"/>
      <c r="AQ674" s="381"/>
      <c r="AR674" s="381"/>
      <c r="AS674" s="381"/>
      <c r="AT674" s="381"/>
    </row>
    <row r="675" spans="1:46" ht="27" hidden="1" customHeight="1" x14ac:dyDescent="0.15">
      <c r="A675" s="926" t="s">
        <v>1354</v>
      </c>
      <c r="B675" s="927"/>
      <c r="C675" s="927"/>
      <c r="D675" s="927"/>
      <c r="E675" s="927"/>
      <c r="F675" s="927"/>
      <c r="G675" s="927"/>
      <c r="H675" s="927"/>
      <c r="I675" s="928"/>
      <c r="J675" s="228" t="s">
        <v>1789</v>
      </c>
      <c r="K675" s="212"/>
      <c r="L675" s="212"/>
      <c r="M675" s="212"/>
      <c r="N675" s="212"/>
      <c r="O675" s="212"/>
      <c r="P675" s="212"/>
      <c r="Q675" s="212"/>
      <c r="R675" s="212"/>
      <c r="S675" s="212"/>
      <c r="T675" s="212"/>
      <c r="U675" s="212"/>
      <c r="V675" s="212"/>
    </row>
    <row r="676" spans="1:46" ht="13.5" hidden="1" customHeight="1" x14ac:dyDescent="0.15">
      <c r="A676" s="240" t="s">
        <v>635</v>
      </c>
      <c r="B676" s="208" t="s">
        <v>643</v>
      </c>
      <c r="C676" s="240"/>
      <c r="D676" s="240"/>
      <c r="E676" s="240"/>
      <c r="F676" s="240"/>
      <c r="G676" s="240"/>
      <c r="H676" s="240"/>
      <c r="I676" s="240"/>
      <c r="J676" s="228"/>
      <c r="K676" s="212"/>
      <c r="L676" s="212"/>
      <c r="M676" s="212"/>
      <c r="N676" s="212"/>
      <c r="O676" s="212"/>
      <c r="P676" s="212"/>
      <c r="Q676" s="212"/>
      <c r="R676" s="212"/>
      <c r="S676" s="212"/>
      <c r="T676" s="212"/>
      <c r="U676" s="212"/>
      <c r="V676" s="212"/>
    </row>
    <row r="677" spans="1:46" ht="13.5" hidden="1" customHeight="1" x14ac:dyDescent="0.15">
      <c r="A677" s="240"/>
      <c r="B677" s="240"/>
      <c r="C677" s="240"/>
      <c r="D677" s="240"/>
      <c r="E677" s="240"/>
      <c r="F677" s="240"/>
      <c r="G677" s="240"/>
      <c r="H677" s="240"/>
      <c r="I677" s="240"/>
      <c r="J677" s="228"/>
      <c r="K677" s="212"/>
      <c r="L677" s="212"/>
      <c r="M677" s="212"/>
      <c r="N677" s="212"/>
      <c r="O677" s="212"/>
      <c r="P677" s="212"/>
      <c r="Q677" s="212"/>
      <c r="R677" s="212"/>
      <c r="S677" s="212"/>
      <c r="T677" s="212"/>
      <c r="U677" s="212"/>
      <c r="V677" s="212"/>
    </row>
    <row r="678" spans="1:46" ht="27" hidden="1" customHeight="1" x14ac:dyDescent="0.15">
      <c r="A678" s="240"/>
      <c r="B678" s="925" t="s">
        <v>600</v>
      </c>
      <c r="C678" s="925"/>
      <c r="D678" s="925"/>
      <c r="E678" s="925"/>
      <c r="F678" s="683"/>
      <c r="G678" s="683"/>
      <c r="H678" s="683"/>
      <c r="I678" s="683"/>
      <c r="J678" s="683"/>
      <c r="K678" s="683"/>
      <c r="L678" s="683"/>
      <c r="M678" s="683"/>
      <c r="N678" s="212"/>
      <c r="O678" s="212"/>
      <c r="P678" s="212"/>
      <c r="Q678" s="212"/>
      <c r="R678" s="212"/>
      <c r="S678" s="212"/>
      <c r="T678" s="212"/>
      <c r="U678" s="212"/>
      <c r="V678" s="212"/>
    </row>
    <row r="679" spans="1:46" ht="27" hidden="1" customHeight="1" x14ac:dyDescent="0.15">
      <c r="A679" s="240"/>
      <c r="B679" s="690" t="s">
        <v>636</v>
      </c>
      <c r="C679" s="691"/>
      <c r="D679" s="691"/>
      <c r="E679" s="692"/>
      <c r="F679" s="693"/>
      <c r="G679" s="693"/>
      <c r="H679" s="693"/>
      <c r="I679" s="693"/>
      <c r="J679" s="693"/>
      <c r="K679" s="693"/>
      <c r="L679" s="693"/>
      <c r="M679" s="420" t="s">
        <v>601</v>
      </c>
      <c r="N679" s="212"/>
      <c r="O679" s="212"/>
      <c r="P679" s="212"/>
      <c r="Q679" s="212"/>
      <c r="R679" s="212"/>
      <c r="S679" s="212"/>
      <c r="T679" s="212"/>
      <c r="U679" s="212"/>
      <c r="V679" s="212"/>
    </row>
    <row r="680" spans="1:46" ht="13.5" hidden="1" customHeight="1" x14ac:dyDescent="0.15">
      <c r="A680" s="223"/>
      <c r="B680" s="212"/>
      <c r="C680" s="212"/>
      <c r="D680" s="212"/>
      <c r="E680" s="212"/>
      <c r="F680" s="212"/>
      <c r="G680" s="212"/>
      <c r="H680" s="212"/>
      <c r="I680" s="212"/>
      <c r="J680" s="212"/>
      <c r="K680" s="212"/>
      <c r="L680" s="212"/>
      <c r="M680" s="212"/>
      <c r="N680" s="212"/>
      <c r="O680" s="212"/>
      <c r="P680" s="212"/>
      <c r="Q680" s="212"/>
      <c r="R680" s="212"/>
      <c r="S680" s="212"/>
      <c r="T680" s="212"/>
      <c r="U680" s="212"/>
      <c r="V680" s="212"/>
    </row>
    <row r="681" spans="1:46" s="510" customFormat="1" ht="27" customHeight="1" x14ac:dyDescent="0.15">
      <c r="A681" s="960" t="s">
        <v>1801</v>
      </c>
      <c r="B681" s="960"/>
      <c r="C681" s="960"/>
      <c r="D681" s="960"/>
      <c r="E681" s="960"/>
      <c r="F681" s="960"/>
      <c r="G681" s="960"/>
      <c r="H681" s="960"/>
      <c r="I681" s="960"/>
      <c r="W681" s="511" t="s">
        <v>1956</v>
      </c>
      <c r="X681" s="511"/>
      <c r="Y681" s="511"/>
      <c r="Z681" s="511"/>
      <c r="AA681" s="511"/>
      <c r="AB681" s="511"/>
      <c r="AC681" s="511"/>
      <c r="AD681" s="511"/>
      <c r="AE681" s="511"/>
      <c r="AF681" s="511"/>
      <c r="AG681" s="511"/>
      <c r="AH681" s="511"/>
      <c r="AI681" s="511"/>
      <c r="AJ681" s="511"/>
      <c r="AK681" s="511"/>
      <c r="AL681" s="511"/>
      <c r="AM681" s="511"/>
      <c r="AN681" s="511"/>
      <c r="AO681" s="511"/>
      <c r="AP681" s="511"/>
      <c r="AQ681" s="511"/>
      <c r="AR681" s="511"/>
      <c r="AS681" s="511"/>
      <c r="AT681" s="511"/>
    </row>
    <row r="682" spans="1:46" s="510" customFormat="1" ht="13.5" customHeight="1" x14ac:dyDescent="0.15">
      <c r="A682" s="512" t="s">
        <v>1681</v>
      </c>
      <c r="B682" s="962" t="s">
        <v>1682</v>
      </c>
      <c r="C682" s="962"/>
      <c r="D682" s="962"/>
      <c r="E682" s="962"/>
      <c r="F682" s="962"/>
      <c r="G682" s="962"/>
      <c r="H682" s="962"/>
      <c r="I682" s="962"/>
      <c r="J682" s="962"/>
      <c r="K682" s="962"/>
      <c r="L682" s="962"/>
      <c r="M682" s="962"/>
      <c r="N682" s="962"/>
      <c r="O682" s="962"/>
      <c r="P682" s="962"/>
      <c r="Q682" s="962"/>
      <c r="R682" s="962"/>
      <c r="S682" s="962"/>
      <c r="T682" s="962"/>
      <c r="U682" s="962"/>
      <c r="V682" s="962"/>
      <c r="W682" s="511"/>
      <c r="X682" s="511"/>
      <c r="Y682" s="511"/>
      <c r="Z682" s="511"/>
      <c r="AA682" s="511"/>
      <c r="AB682" s="511"/>
      <c r="AC682" s="511"/>
      <c r="AD682" s="511"/>
      <c r="AE682" s="511"/>
      <c r="AF682" s="511"/>
      <c r="AG682" s="511"/>
      <c r="AH682" s="511"/>
      <c r="AI682" s="511"/>
      <c r="AJ682" s="511"/>
      <c r="AK682" s="511"/>
      <c r="AL682" s="511"/>
      <c r="AM682" s="511"/>
      <c r="AN682" s="511"/>
      <c r="AO682" s="511"/>
      <c r="AP682" s="511"/>
      <c r="AQ682" s="511"/>
      <c r="AR682" s="511"/>
      <c r="AS682" s="511"/>
      <c r="AT682" s="511"/>
    </row>
    <row r="683" spans="1:46" s="510" customFormat="1" ht="13.5" customHeight="1" x14ac:dyDescent="0.15">
      <c r="A683" s="513" t="s">
        <v>72</v>
      </c>
      <c r="B683" s="670" t="s">
        <v>1864</v>
      </c>
      <c r="C683" s="670"/>
      <c r="D683" s="670"/>
      <c r="E683" s="670"/>
      <c r="F683" s="670"/>
      <c r="G683" s="670"/>
      <c r="H683" s="670"/>
      <c r="I683" s="670"/>
      <c r="J683" s="670"/>
      <c r="K683" s="670"/>
      <c r="L683" s="670"/>
      <c r="M683" s="670"/>
      <c r="N683" s="670"/>
      <c r="O683" s="670"/>
      <c r="P683" s="670"/>
      <c r="Q683" s="670"/>
      <c r="R683" s="670"/>
      <c r="S683" s="670"/>
      <c r="T683" s="670"/>
      <c r="U683" s="670"/>
      <c r="V683" s="670"/>
      <c r="W683" s="511"/>
      <c r="X683" s="511"/>
      <c r="Y683" s="511"/>
      <c r="Z683" s="511"/>
      <c r="AA683" s="511"/>
      <c r="AB683" s="511"/>
      <c r="AC683" s="511"/>
      <c r="AD683" s="511"/>
      <c r="AE683" s="511"/>
      <c r="AF683" s="511"/>
      <c r="AG683" s="511"/>
      <c r="AH683" s="511"/>
      <c r="AI683" s="511"/>
      <c r="AJ683" s="511"/>
      <c r="AK683" s="511"/>
      <c r="AL683" s="511"/>
      <c r="AM683" s="511"/>
      <c r="AN683" s="511"/>
      <c r="AO683" s="511"/>
      <c r="AP683" s="511"/>
      <c r="AQ683" s="511"/>
      <c r="AR683" s="511"/>
      <c r="AS683" s="511"/>
      <c r="AT683" s="511"/>
    </row>
    <row r="684" spans="1:46" s="510" customFormat="1" ht="13.5" customHeight="1" thickBot="1" x14ac:dyDescent="0.2">
      <c r="F684" s="514"/>
      <c r="G684" s="514"/>
      <c r="H684" s="514"/>
      <c r="I684" s="515"/>
      <c r="J684" s="515"/>
      <c r="K684" s="515"/>
      <c r="L684" s="514"/>
      <c r="M684" s="515"/>
      <c r="N684" s="515"/>
      <c r="O684" s="515"/>
      <c r="P684" s="514"/>
      <c r="Q684" s="516"/>
      <c r="R684" s="517"/>
      <c r="S684" s="517"/>
      <c r="T684" s="514"/>
      <c r="W684" s="511"/>
      <c r="X684" s="511"/>
      <c r="Y684" s="511"/>
      <c r="Z684" s="511"/>
      <c r="AA684" s="511"/>
      <c r="AB684" s="511"/>
      <c r="AC684" s="511"/>
      <c r="AD684" s="511"/>
      <c r="AE684" s="511"/>
      <c r="AF684" s="511"/>
      <c r="AG684" s="511"/>
      <c r="AH684" s="511"/>
      <c r="AI684" s="511"/>
      <c r="AJ684" s="511"/>
      <c r="AK684" s="511"/>
      <c r="AL684" s="511"/>
      <c r="AM684" s="511"/>
      <c r="AN684" s="511"/>
      <c r="AO684" s="511"/>
      <c r="AP684" s="511"/>
      <c r="AQ684" s="511"/>
      <c r="AR684" s="511"/>
      <c r="AS684" s="511"/>
      <c r="AT684" s="511"/>
    </row>
    <row r="685" spans="1:46" s="510" customFormat="1" ht="24.95" customHeight="1" thickBot="1" x14ac:dyDescent="0.2">
      <c r="B685" s="963" t="s">
        <v>596</v>
      </c>
      <c r="C685" s="964" t="s">
        <v>595</v>
      </c>
      <c r="D685" s="965"/>
      <c r="E685" s="965"/>
      <c r="F685" s="965"/>
      <c r="G685" s="965"/>
      <c r="H685" s="965"/>
      <c r="I685" s="965"/>
      <c r="J685" s="965"/>
      <c r="K685" s="966"/>
      <c r="L685" s="967"/>
      <c r="M685" s="968"/>
      <c r="N685" s="968"/>
      <c r="O685" s="968"/>
      <c r="P685" s="968"/>
      <c r="Q685" s="968"/>
      <c r="R685" s="968"/>
      <c r="S685" s="968"/>
      <c r="T685" s="969"/>
      <c r="U685" s="970" t="s">
        <v>781</v>
      </c>
      <c r="V685" s="971"/>
      <c r="W685" s="511"/>
      <c r="X685" s="511"/>
      <c r="Y685" s="511"/>
      <c r="Z685" s="511" t="s">
        <v>1862</v>
      </c>
      <c r="AA685" s="511"/>
      <c r="AB685" s="511"/>
      <c r="AC685" s="511"/>
      <c r="AD685" s="511"/>
      <c r="AE685" s="511"/>
      <c r="AF685" s="511"/>
      <c r="AG685" s="511"/>
      <c r="AH685" s="511"/>
      <c r="AI685" s="511"/>
      <c r="AJ685" s="511"/>
      <c r="AK685" s="511"/>
      <c r="AL685" s="511"/>
      <c r="AM685" s="511"/>
      <c r="AN685" s="511"/>
      <c r="AO685" s="511"/>
      <c r="AP685" s="511"/>
      <c r="AQ685" s="511"/>
      <c r="AR685" s="511"/>
      <c r="AS685" s="511"/>
      <c r="AT685" s="511"/>
    </row>
    <row r="686" spans="1:46" s="510" customFormat="1" ht="24.95" customHeight="1" thickTop="1" x14ac:dyDescent="0.15">
      <c r="B686" s="963"/>
      <c r="C686" s="518"/>
      <c r="D686" s="519"/>
      <c r="E686" s="519"/>
      <c r="F686" s="519"/>
      <c r="G686" s="519"/>
      <c r="H686" s="519"/>
      <c r="I686" s="519"/>
      <c r="J686" s="519"/>
      <c r="K686" s="519"/>
      <c r="L686" s="974" t="s">
        <v>1683</v>
      </c>
      <c r="M686" s="975"/>
      <c r="N686" s="976"/>
      <c r="O686" s="604" t="s">
        <v>1684</v>
      </c>
      <c r="P686" s="605"/>
      <c r="Q686" s="606"/>
      <c r="R686" s="605" t="s">
        <v>1685</v>
      </c>
      <c r="S686" s="605"/>
      <c r="T686" s="977"/>
      <c r="U686" s="972"/>
      <c r="V686" s="973"/>
      <c r="W686" s="511"/>
      <c r="X686" s="511"/>
      <c r="Y686" s="511"/>
      <c r="Z686" s="511" t="s">
        <v>1684</v>
      </c>
      <c r="AA686" s="511"/>
      <c r="AB686" s="511"/>
      <c r="AC686" s="511"/>
      <c r="AD686" s="511"/>
      <c r="AE686" s="511"/>
      <c r="AF686" s="511"/>
      <c r="AG686" s="511"/>
      <c r="AH686" s="511"/>
      <c r="AI686" s="511"/>
      <c r="AJ686" s="511"/>
      <c r="AK686" s="511"/>
      <c r="AL686" s="511"/>
      <c r="AM686" s="511"/>
      <c r="AN686" s="511"/>
      <c r="AO686" s="511"/>
      <c r="AP686" s="511"/>
      <c r="AQ686" s="511"/>
      <c r="AR686" s="511"/>
      <c r="AS686" s="511"/>
      <c r="AT686" s="511"/>
    </row>
    <row r="687" spans="1:46" s="510" customFormat="1" ht="24.95" customHeight="1" x14ac:dyDescent="0.15">
      <c r="B687" s="963"/>
      <c r="C687" s="1571" t="s">
        <v>1317</v>
      </c>
      <c r="D687" s="1571" t="s">
        <v>1318</v>
      </c>
      <c r="E687" s="978" t="s">
        <v>1686</v>
      </c>
      <c r="F687" s="979"/>
      <c r="G687" s="979"/>
      <c r="H687" s="979"/>
      <c r="I687" s="979"/>
      <c r="J687" s="979"/>
      <c r="K687" s="979"/>
      <c r="L687" s="980">
        <f t="shared" ref="L687:L727" ca="1" si="26">SUM(O687:T687)</f>
        <v>0</v>
      </c>
      <c r="M687" s="981"/>
      <c r="N687" s="982"/>
      <c r="O687" s="983">
        <f t="shared" ref="O687:O693" ca="1" si="27">IF(ISERROR(VLOOKUP($E687,INDIRECT($Z$685&amp;"!$D$7:$G$175"),MATCH($Z$686,INDIRECT($Z$685&amp;"!$D$6:$Z$6"),0),0)),0,VLOOKUP($E687,INDIRECT($Z$685&amp;"!$D$7:$G$175"),MATCH($Z$686,INDIRECT($Z$685&amp;"!$D$6:$Z$6"),0),0))</f>
        <v>0</v>
      </c>
      <c r="P687" s="984"/>
      <c r="Q687" s="985"/>
      <c r="R687" s="983">
        <f t="shared" ref="R687:R693" ca="1" si="28">IF(ISERROR(VLOOKUP($E687,INDIRECT($Z$685&amp;"!$D$7:$G$175"),MATCH($Z$687,INDIRECT($Z$685&amp;"!$D$6:$Z$6"),0),0)),0,VLOOKUP($E687,INDIRECT($Z$685&amp;"!$D$7:$G$175"),MATCH($Z$687,INDIRECT($Z$685&amp;"!$D$6:$Z$6"),0),0))</f>
        <v>0</v>
      </c>
      <c r="S687" s="984"/>
      <c r="T687" s="986"/>
      <c r="U687" s="867"/>
      <c r="V687" s="868"/>
      <c r="W687" s="520"/>
      <c r="X687" s="511"/>
      <c r="Y687" s="511"/>
      <c r="Z687" s="511" t="s">
        <v>1685</v>
      </c>
      <c r="AA687" s="511"/>
      <c r="AB687" s="511"/>
      <c r="AC687" s="511"/>
      <c r="AD687" s="511"/>
      <c r="AE687" s="511"/>
      <c r="AF687" s="511"/>
      <c r="AG687" s="511"/>
      <c r="AH687" s="511"/>
      <c r="AI687" s="511"/>
      <c r="AJ687" s="511"/>
      <c r="AK687" s="511"/>
      <c r="AL687" s="511"/>
      <c r="AM687" s="511"/>
      <c r="AN687" s="511"/>
      <c r="AO687" s="511"/>
      <c r="AP687" s="511"/>
      <c r="AQ687" s="511"/>
      <c r="AR687" s="511"/>
      <c r="AS687" s="511"/>
      <c r="AT687" s="511"/>
    </row>
    <row r="688" spans="1:46" s="510" customFormat="1" ht="24.95" customHeight="1" x14ac:dyDescent="0.15">
      <c r="B688" s="963"/>
      <c r="C688" s="997"/>
      <c r="D688" s="997"/>
      <c r="E688" s="987" t="s">
        <v>514</v>
      </c>
      <c r="F688" s="988"/>
      <c r="G688" s="988"/>
      <c r="H688" s="988"/>
      <c r="I688" s="988"/>
      <c r="J688" s="988"/>
      <c r="K688" s="988"/>
      <c r="L688" s="989">
        <f t="shared" ca="1" si="26"/>
        <v>0</v>
      </c>
      <c r="M688" s="990"/>
      <c r="N688" s="991"/>
      <c r="O688" s="610">
        <f t="shared" ca="1" si="27"/>
        <v>0</v>
      </c>
      <c r="P688" s="611"/>
      <c r="Q688" s="612"/>
      <c r="R688" s="610">
        <f t="shared" ca="1" si="28"/>
        <v>0</v>
      </c>
      <c r="S688" s="611"/>
      <c r="T688" s="996"/>
      <c r="U688" s="869"/>
      <c r="V688" s="870"/>
      <c r="W688" s="520"/>
      <c r="X688" s="511"/>
      <c r="Y688" s="511"/>
      <c r="Z688" s="511"/>
      <c r="AA688" s="511"/>
      <c r="AB688" s="511"/>
      <c r="AC688" s="511"/>
      <c r="AD688" s="511"/>
      <c r="AE688" s="511"/>
      <c r="AF688" s="511"/>
      <c r="AG688" s="511"/>
      <c r="AH688" s="511"/>
      <c r="AI688" s="511"/>
      <c r="AJ688" s="511"/>
      <c r="AK688" s="511"/>
      <c r="AL688" s="511"/>
      <c r="AM688" s="511"/>
      <c r="AN688" s="511"/>
      <c r="AO688" s="511"/>
      <c r="AP688" s="511"/>
      <c r="AQ688" s="511"/>
      <c r="AR688" s="511"/>
      <c r="AS688" s="511"/>
      <c r="AT688" s="511"/>
    </row>
    <row r="689" spans="2:46" s="510" customFormat="1" ht="24.95" customHeight="1" x14ac:dyDescent="0.15">
      <c r="B689" s="963"/>
      <c r="C689" s="997"/>
      <c r="D689" s="997"/>
      <c r="E689" s="915" t="s">
        <v>515</v>
      </c>
      <c r="F689" s="916"/>
      <c r="G689" s="916"/>
      <c r="H689" s="916"/>
      <c r="I689" s="916"/>
      <c r="J689" s="916"/>
      <c r="K689" s="916"/>
      <c r="L689" s="917">
        <f t="shared" ca="1" si="26"/>
        <v>0</v>
      </c>
      <c r="M689" s="918"/>
      <c r="N689" s="919"/>
      <c r="O689" s="616">
        <f t="shared" ca="1" si="27"/>
        <v>0</v>
      </c>
      <c r="P689" s="617"/>
      <c r="Q689" s="618"/>
      <c r="R689" s="616">
        <f t="shared" ca="1" si="28"/>
        <v>0</v>
      </c>
      <c r="S689" s="617"/>
      <c r="T689" s="891"/>
      <c r="U689" s="869"/>
      <c r="V689" s="870"/>
      <c r="W689" s="520"/>
      <c r="X689" s="511"/>
      <c r="Y689" s="511"/>
      <c r="Z689" s="511"/>
      <c r="AA689" s="511"/>
      <c r="AB689" s="511"/>
      <c r="AC689" s="511"/>
      <c r="AD689" s="511"/>
      <c r="AE689" s="511"/>
      <c r="AF689" s="511"/>
      <c r="AG689" s="511"/>
      <c r="AH689" s="511"/>
      <c r="AI689" s="511"/>
      <c r="AJ689" s="511"/>
      <c r="AK689" s="511"/>
      <c r="AL689" s="511"/>
      <c r="AM689" s="511"/>
      <c r="AN689" s="511"/>
      <c r="AO689" s="511"/>
      <c r="AP689" s="511"/>
      <c r="AQ689" s="511"/>
      <c r="AR689" s="511"/>
      <c r="AS689" s="511"/>
      <c r="AT689" s="511"/>
    </row>
    <row r="690" spans="2:46" s="510" customFormat="1" ht="24.95" hidden="1" customHeight="1" x14ac:dyDescent="0.15">
      <c r="B690" s="963"/>
      <c r="C690" s="997"/>
      <c r="D690" s="997"/>
      <c r="E690" s="521" t="s">
        <v>516</v>
      </c>
      <c r="F690" s="522"/>
      <c r="G690" s="522"/>
      <c r="H690" s="522"/>
      <c r="I690" s="522"/>
      <c r="J690" s="522"/>
      <c r="K690" s="522"/>
      <c r="L690" s="917">
        <f t="shared" ca="1" si="26"/>
        <v>0</v>
      </c>
      <c r="M690" s="918"/>
      <c r="N690" s="919"/>
      <c r="O690" s="616">
        <f t="shared" ca="1" si="27"/>
        <v>0</v>
      </c>
      <c r="P690" s="617"/>
      <c r="Q690" s="618"/>
      <c r="R690" s="616">
        <f t="shared" ca="1" si="28"/>
        <v>0</v>
      </c>
      <c r="S690" s="617"/>
      <c r="T690" s="891"/>
      <c r="U690" s="869"/>
      <c r="V690" s="870"/>
      <c r="W690" s="520"/>
      <c r="X690" s="511"/>
      <c r="Y690" s="511"/>
      <c r="Z690" s="511"/>
      <c r="AA690" s="511"/>
      <c r="AB690" s="511"/>
      <c r="AC690" s="511"/>
      <c r="AD690" s="511"/>
      <c r="AE690" s="511"/>
      <c r="AF690" s="511"/>
      <c r="AG690" s="511"/>
      <c r="AH690" s="511"/>
      <c r="AI690" s="511"/>
      <c r="AJ690" s="511"/>
      <c r="AK690" s="511"/>
      <c r="AL690" s="511"/>
      <c r="AM690" s="511"/>
      <c r="AN690" s="511"/>
      <c r="AO690" s="511"/>
      <c r="AP690" s="511"/>
      <c r="AQ690" s="511"/>
      <c r="AR690" s="511"/>
      <c r="AS690" s="511"/>
      <c r="AT690" s="511"/>
    </row>
    <row r="691" spans="2:46" s="510" customFormat="1" ht="24.95" hidden="1" customHeight="1" x14ac:dyDescent="0.15">
      <c r="B691" s="963"/>
      <c r="C691" s="997"/>
      <c r="D691" s="997"/>
      <c r="E691" s="521" t="s">
        <v>517</v>
      </c>
      <c r="F691" s="522"/>
      <c r="G691" s="522"/>
      <c r="H691" s="522"/>
      <c r="I691" s="522"/>
      <c r="J691" s="522"/>
      <c r="K691" s="522"/>
      <c r="L691" s="917">
        <f t="shared" ca="1" si="26"/>
        <v>0</v>
      </c>
      <c r="M691" s="918"/>
      <c r="N691" s="919"/>
      <c r="O691" s="616">
        <f t="shared" ca="1" si="27"/>
        <v>0</v>
      </c>
      <c r="P691" s="617"/>
      <c r="Q691" s="618"/>
      <c r="R691" s="616">
        <f t="shared" ca="1" si="28"/>
        <v>0</v>
      </c>
      <c r="S691" s="617"/>
      <c r="T691" s="891"/>
      <c r="U691" s="869"/>
      <c r="V691" s="870"/>
      <c r="W691" s="520"/>
      <c r="X691" s="511"/>
      <c r="Y691" s="511"/>
      <c r="Z691" s="511"/>
      <c r="AA691" s="511"/>
      <c r="AB691" s="511"/>
      <c r="AC691" s="511"/>
      <c r="AD691" s="511"/>
      <c r="AE691" s="511"/>
      <c r="AF691" s="511"/>
      <c r="AG691" s="511"/>
      <c r="AH691" s="511"/>
      <c r="AI691" s="511"/>
      <c r="AJ691" s="511"/>
      <c r="AK691" s="511"/>
      <c r="AL691" s="511"/>
      <c r="AM691" s="511"/>
      <c r="AN691" s="511"/>
      <c r="AO691" s="511"/>
      <c r="AP691" s="511"/>
      <c r="AQ691" s="511"/>
      <c r="AR691" s="511"/>
      <c r="AS691" s="511"/>
      <c r="AT691" s="511"/>
    </row>
    <row r="692" spans="2:46" s="510" customFormat="1" ht="24.95" customHeight="1" x14ac:dyDescent="0.15">
      <c r="B692" s="963"/>
      <c r="C692" s="997"/>
      <c r="D692" s="997"/>
      <c r="E692" s="915" t="s">
        <v>518</v>
      </c>
      <c r="F692" s="916"/>
      <c r="G692" s="916"/>
      <c r="H692" s="916"/>
      <c r="I692" s="916"/>
      <c r="J692" s="916"/>
      <c r="K692" s="916"/>
      <c r="L692" s="917">
        <f t="shared" ca="1" si="26"/>
        <v>0</v>
      </c>
      <c r="M692" s="918"/>
      <c r="N692" s="919"/>
      <c r="O692" s="616">
        <f t="shared" ca="1" si="27"/>
        <v>0</v>
      </c>
      <c r="P692" s="617"/>
      <c r="Q692" s="618"/>
      <c r="R692" s="616">
        <f t="shared" ca="1" si="28"/>
        <v>0</v>
      </c>
      <c r="S692" s="617"/>
      <c r="T692" s="891"/>
      <c r="U692" s="869"/>
      <c r="V692" s="870"/>
      <c r="W692" s="520"/>
      <c r="X692" s="511"/>
      <c r="Y692" s="511"/>
      <c r="Z692" s="511"/>
      <c r="AA692" s="511"/>
      <c r="AB692" s="511"/>
      <c r="AC692" s="511"/>
      <c r="AD692" s="511"/>
      <c r="AE692" s="511"/>
      <c r="AF692" s="511"/>
      <c r="AG692" s="511"/>
      <c r="AH692" s="511"/>
      <c r="AI692" s="511"/>
      <c r="AJ692" s="511"/>
      <c r="AK692" s="511"/>
      <c r="AL692" s="511"/>
      <c r="AM692" s="511"/>
      <c r="AN692" s="511"/>
      <c r="AO692" s="511"/>
      <c r="AP692" s="511"/>
      <c r="AQ692" s="511"/>
      <c r="AR692" s="511"/>
      <c r="AS692" s="511"/>
      <c r="AT692" s="511"/>
    </row>
    <row r="693" spans="2:46" s="510" customFormat="1" ht="24.95" customHeight="1" x14ac:dyDescent="0.15">
      <c r="B693" s="963"/>
      <c r="C693" s="997"/>
      <c r="D693" s="997"/>
      <c r="E693" s="915" t="s">
        <v>519</v>
      </c>
      <c r="F693" s="916"/>
      <c r="G693" s="916"/>
      <c r="H693" s="916"/>
      <c r="I693" s="916"/>
      <c r="J693" s="916"/>
      <c r="K693" s="916"/>
      <c r="L693" s="917">
        <f t="shared" ca="1" si="26"/>
        <v>0</v>
      </c>
      <c r="M693" s="918"/>
      <c r="N693" s="919"/>
      <c r="O693" s="616">
        <f t="shared" ca="1" si="27"/>
        <v>0</v>
      </c>
      <c r="P693" s="617"/>
      <c r="Q693" s="618"/>
      <c r="R693" s="616">
        <f t="shared" ca="1" si="28"/>
        <v>0</v>
      </c>
      <c r="S693" s="617"/>
      <c r="T693" s="891"/>
      <c r="U693" s="869"/>
      <c r="V693" s="870"/>
      <c r="W693" s="520"/>
      <c r="X693" s="511"/>
      <c r="Y693" s="511"/>
      <c r="Z693" s="511"/>
      <c r="AA693" s="511"/>
      <c r="AB693" s="511"/>
      <c r="AC693" s="511"/>
      <c r="AD693" s="511"/>
      <c r="AE693" s="511"/>
      <c r="AF693" s="511"/>
      <c r="AG693" s="511"/>
      <c r="AH693" s="511"/>
      <c r="AI693" s="511"/>
      <c r="AJ693" s="511"/>
      <c r="AK693" s="511"/>
      <c r="AL693" s="511"/>
      <c r="AM693" s="511"/>
      <c r="AN693" s="511"/>
      <c r="AO693" s="511"/>
      <c r="AP693" s="511"/>
      <c r="AQ693" s="511"/>
      <c r="AR693" s="511"/>
      <c r="AS693" s="511"/>
      <c r="AT693" s="511"/>
    </row>
    <row r="694" spans="2:46" s="510" customFormat="1" ht="24.95" customHeight="1" x14ac:dyDescent="0.15">
      <c r="B694" s="963"/>
      <c r="C694" s="997"/>
      <c r="D694" s="997"/>
      <c r="E694" s="892" t="s">
        <v>1921</v>
      </c>
      <c r="F694" s="893"/>
      <c r="G694" s="893"/>
      <c r="H694" s="893"/>
      <c r="I694" s="893"/>
      <c r="J694" s="893"/>
      <c r="K694" s="893"/>
      <c r="L694" s="917">
        <f t="shared" ca="1" si="26"/>
        <v>0</v>
      </c>
      <c r="M694" s="918"/>
      <c r="N694" s="919"/>
      <c r="O694" s="616">
        <f ca="1">SUM(O695:Q696)</f>
        <v>0</v>
      </c>
      <c r="P694" s="617"/>
      <c r="Q694" s="618"/>
      <c r="R694" s="616">
        <f ca="1">SUM(R695:T696)</f>
        <v>0</v>
      </c>
      <c r="S694" s="617"/>
      <c r="T694" s="891"/>
      <c r="U694" s="869"/>
      <c r="V694" s="870"/>
      <c r="W694" s="520"/>
      <c r="X694" s="511"/>
      <c r="Y694" s="511"/>
      <c r="Z694" s="511"/>
      <c r="AA694" s="511"/>
      <c r="AB694" s="511"/>
      <c r="AC694" s="511"/>
      <c r="AD694" s="511"/>
      <c r="AE694" s="511"/>
      <c r="AF694" s="511"/>
      <c r="AG694" s="511"/>
      <c r="AH694" s="511"/>
      <c r="AI694" s="511"/>
      <c r="AJ694" s="511"/>
      <c r="AK694" s="511"/>
      <c r="AL694" s="511"/>
      <c r="AM694" s="511"/>
      <c r="AN694" s="511"/>
      <c r="AO694" s="511"/>
      <c r="AP694" s="511"/>
      <c r="AQ694" s="511"/>
      <c r="AR694" s="511"/>
      <c r="AS694" s="511"/>
      <c r="AT694" s="511"/>
    </row>
    <row r="695" spans="2:46" s="510" customFormat="1" ht="24.95" hidden="1" customHeight="1" x14ac:dyDescent="0.15">
      <c r="B695" s="963"/>
      <c r="C695" s="997"/>
      <c r="D695" s="997"/>
      <c r="E695" s="584" t="s">
        <v>1687</v>
      </c>
      <c r="F695" s="585"/>
      <c r="G695" s="585"/>
      <c r="H695" s="585"/>
      <c r="I695" s="585"/>
      <c r="J695" s="585"/>
      <c r="K695" s="585"/>
      <c r="L695" s="577">
        <f t="shared" ca="1" si="26"/>
        <v>0</v>
      </c>
      <c r="M695" s="578"/>
      <c r="N695" s="579"/>
      <c r="O695" s="580">
        <f ca="1">IF(ISERROR(VLOOKUP($E695,INDIRECT($Z$685&amp;"!$D$7:$G$175"),MATCH($Z$686,INDIRECT($Z$685&amp;"!$D$6:$Z$6"),0),0)),0,VLOOKUP($E695,INDIRECT($Z$685&amp;"!$D$7:$G$175"),MATCH($Z$686,INDIRECT($Z$685&amp;"!$D$6:$Z$6"),0),0))</f>
        <v>0</v>
      </c>
      <c r="P695" s="581"/>
      <c r="Q695" s="582"/>
      <c r="R695" s="580">
        <f ca="1">IF(ISERROR(VLOOKUP($E695,INDIRECT($Z$685&amp;"!$D$7:$G$175"),MATCH($Z$687,INDIRECT($Z$685&amp;"!$D$6:$Z$6"),0),0)),0,VLOOKUP($E695,INDIRECT($Z$685&amp;"!$D$7:$G$175"),MATCH($Z$687,INDIRECT($Z$685&amp;"!$D$6:$Z$6"),0),0))</f>
        <v>0</v>
      </c>
      <c r="S695" s="581"/>
      <c r="T695" s="583"/>
      <c r="U695" s="869"/>
      <c r="V695" s="870"/>
      <c r="W695" s="520"/>
      <c r="X695" s="511"/>
      <c r="Y695" s="511"/>
      <c r="Z695" s="511"/>
      <c r="AA695" s="511"/>
      <c r="AB695" s="511"/>
      <c r="AC695" s="511"/>
      <c r="AD695" s="511"/>
      <c r="AE695" s="511"/>
      <c r="AF695" s="511"/>
      <c r="AG695" s="511"/>
      <c r="AH695" s="511"/>
      <c r="AI695" s="511"/>
      <c r="AJ695" s="511"/>
      <c r="AK695" s="511"/>
      <c r="AL695" s="511"/>
      <c r="AM695" s="511"/>
      <c r="AN695" s="511"/>
      <c r="AO695" s="511"/>
      <c r="AP695" s="511"/>
      <c r="AQ695" s="511"/>
      <c r="AR695" s="511"/>
      <c r="AS695" s="511"/>
      <c r="AT695" s="511"/>
    </row>
    <row r="696" spans="2:46" s="510" customFormat="1" ht="24.95" hidden="1" customHeight="1" x14ac:dyDescent="0.15">
      <c r="B696" s="963"/>
      <c r="C696" s="997"/>
      <c r="D696" s="997"/>
      <c r="E696" s="584" t="s">
        <v>1922</v>
      </c>
      <c r="F696" s="585"/>
      <c r="G696" s="585"/>
      <c r="H696" s="585"/>
      <c r="I696" s="585"/>
      <c r="J696" s="585"/>
      <c r="K696" s="585"/>
      <c r="L696" s="577">
        <f t="shared" ca="1" si="26"/>
        <v>0</v>
      </c>
      <c r="M696" s="578"/>
      <c r="N696" s="579"/>
      <c r="O696" s="580">
        <f ca="1">IF(ISERROR(VLOOKUP($E696,INDIRECT($Z$685&amp;"!$D$7:$G$175"),MATCH($Z$686,INDIRECT($Z$685&amp;"!$D$6:$Z$6"),0),0)),0,VLOOKUP($E696,INDIRECT($Z$685&amp;"!$D$7:$G$175"),MATCH($Z$686,INDIRECT($Z$685&amp;"!$D$6:$Z$6"),0),0))</f>
        <v>0</v>
      </c>
      <c r="P696" s="581"/>
      <c r="Q696" s="582"/>
      <c r="R696" s="580">
        <f ca="1">IF(ISERROR(VLOOKUP($E696,INDIRECT($Z$685&amp;"!$D$7:$G$175"),MATCH($Z$687,INDIRECT($Z$685&amp;"!$D$6:$Z$6"),0),0)),0,VLOOKUP($E696,INDIRECT($Z$685&amp;"!$D$7:$G$175"),MATCH($Z$687,INDIRECT($Z$685&amp;"!$D$6:$Z$6"),0),0))</f>
        <v>0</v>
      </c>
      <c r="S696" s="581"/>
      <c r="T696" s="583"/>
      <c r="U696" s="869"/>
      <c r="V696" s="870"/>
      <c r="W696" s="520"/>
      <c r="X696" s="511"/>
      <c r="Y696" s="511"/>
      <c r="Z696" s="511"/>
      <c r="AA696" s="511"/>
      <c r="AB696" s="511"/>
      <c r="AC696" s="511"/>
      <c r="AD696" s="511"/>
      <c r="AE696" s="511"/>
      <c r="AF696" s="511"/>
      <c r="AG696" s="511"/>
      <c r="AH696" s="511"/>
      <c r="AI696" s="511"/>
      <c r="AJ696" s="511"/>
      <c r="AK696" s="511"/>
      <c r="AL696" s="511"/>
      <c r="AM696" s="511"/>
      <c r="AN696" s="511"/>
      <c r="AO696" s="511"/>
      <c r="AP696" s="511"/>
      <c r="AQ696" s="511"/>
      <c r="AR696" s="511"/>
      <c r="AS696" s="511"/>
      <c r="AT696" s="511"/>
    </row>
    <row r="697" spans="2:46" s="510" customFormat="1" ht="24.95" customHeight="1" x14ac:dyDescent="0.15">
      <c r="B697" s="963"/>
      <c r="C697" s="997"/>
      <c r="D697" s="997"/>
      <c r="E697" s="892" t="s">
        <v>1924</v>
      </c>
      <c r="F697" s="893"/>
      <c r="G697" s="893"/>
      <c r="H697" s="893"/>
      <c r="I697" s="893"/>
      <c r="J697" s="893"/>
      <c r="K697" s="893"/>
      <c r="L697" s="917">
        <f t="shared" ca="1" si="26"/>
        <v>0</v>
      </c>
      <c r="M697" s="918"/>
      <c r="N697" s="919"/>
      <c r="O697" s="616">
        <f ca="1">SUM(O698:Q699)</f>
        <v>0</v>
      </c>
      <c r="P697" s="617"/>
      <c r="Q697" s="618"/>
      <c r="R697" s="616">
        <f ca="1">SUM(R698:T699)</f>
        <v>0</v>
      </c>
      <c r="S697" s="617"/>
      <c r="T697" s="891"/>
      <c r="U697" s="869"/>
      <c r="V697" s="870"/>
      <c r="W697" s="520"/>
      <c r="X697" s="511"/>
      <c r="Y697" s="511"/>
      <c r="Z697" s="511"/>
      <c r="AA697" s="511"/>
      <c r="AB697" s="511"/>
      <c r="AC697" s="511"/>
      <c r="AD697" s="511"/>
      <c r="AE697" s="511"/>
      <c r="AF697" s="511"/>
      <c r="AG697" s="511"/>
      <c r="AH697" s="511"/>
      <c r="AI697" s="511"/>
      <c r="AJ697" s="511"/>
      <c r="AK697" s="511"/>
      <c r="AL697" s="511"/>
      <c r="AM697" s="511"/>
      <c r="AN697" s="511"/>
      <c r="AO697" s="511"/>
      <c r="AP697" s="511"/>
      <c r="AQ697" s="511"/>
      <c r="AR697" s="511"/>
      <c r="AS697" s="511"/>
      <c r="AT697" s="511"/>
    </row>
    <row r="698" spans="2:46" s="510" customFormat="1" ht="24.95" hidden="1" customHeight="1" x14ac:dyDescent="0.15">
      <c r="B698" s="963"/>
      <c r="C698" s="997"/>
      <c r="D698" s="997"/>
      <c r="E698" s="584" t="s">
        <v>1688</v>
      </c>
      <c r="F698" s="585"/>
      <c r="G698" s="585"/>
      <c r="H698" s="585"/>
      <c r="I698" s="585"/>
      <c r="J698" s="585"/>
      <c r="K698" s="585"/>
      <c r="L698" s="577">
        <f t="shared" ca="1" si="26"/>
        <v>0</v>
      </c>
      <c r="M698" s="578"/>
      <c r="N698" s="579"/>
      <c r="O698" s="580">
        <f ca="1">IF(ISERROR(VLOOKUP($E698,INDIRECT($Z$685&amp;"!$D$7:$G$175"),MATCH($Z$686,INDIRECT($Z$685&amp;"!$D$6:$Z$6"),0),0)),0,VLOOKUP($E698,INDIRECT($Z$685&amp;"!$D$7:$G$175"),MATCH($Z$686,INDIRECT($Z$685&amp;"!$D$6:$Z$6"),0),0))</f>
        <v>0</v>
      </c>
      <c r="P698" s="581"/>
      <c r="Q698" s="582"/>
      <c r="R698" s="580">
        <f ca="1">IF(ISERROR(VLOOKUP($E698,INDIRECT($Z$685&amp;"!$D$7:$G$175"),MATCH($Z$687,INDIRECT($Z$685&amp;"!$D$6:$Z$6"),0),0)),0,VLOOKUP($E698,INDIRECT($Z$685&amp;"!$D$7:$G$175"),MATCH($Z$687,INDIRECT($Z$685&amp;"!$D$6:$Z$6"),0),0))</f>
        <v>0</v>
      </c>
      <c r="S698" s="581"/>
      <c r="T698" s="583"/>
      <c r="U698" s="869"/>
      <c r="V698" s="870"/>
      <c r="W698" s="520"/>
      <c r="X698" s="511"/>
      <c r="Y698" s="511"/>
      <c r="Z698" s="511"/>
      <c r="AA698" s="511"/>
      <c r="AB698" s="511"/>
      <c r="AC698" s="511"/>
      <c r="AD698" s="511"/>
      <c r="AE698" s="511"/>
      <c r="AF698" s="511"/>
      <c r="AG698" s="511"/>
      <c r="AH698" s="511"/>
      <c r="AI698" s="511"/>
      <c r="AJ698" s="511"/>
      <c r="AK698" s="511"/>
      <c r="AL698" s="511"/>
      <c r="AM698" s="511"/>
      <c r="AN698" s="511"/>
      <c r="AO698" s="511"/>
      <c r="AP698" s="511"/>
      <c r="AQ698" s="511"/>
      <c r="AR698" s="511"/>
      <c r="AS698" s="511"/>
      <c r="AT698" s="511"/>
    </row>
    <row r="699" spans="2:46" s="510" customFormat="1" ht="24.95" hidden="1" customHeight="1" x14ac:dyDescent="0.15">
      <c r="B699" s="963"/>
      <c r="C699" s="997"/>
      <c r="D699" s="997"/>
      <c r="E699" s="584" t="s">
        <v>1925</v>
      </c>
      <c r="F699" s="585"/>
      <c r="G699" s="585"/>
      <c r="H699" s="585"/>
      <c r="I699" s="585"/>
      <c r="J699" s="585"/>
      <c r="K699" s="585"/>
      <c r="L699" s="577">
        <f t="shared" ca="1" si="26"/>
        <v>0</v>
      </c>
      <c r="M699" s="578"/>
      <c r="N699" s="579"/>
      <c r="O699" s="580">
        <f ca="1">IF(ISERROR(VLOOKUP($E699,INDIRECT($Z$685&amp;"!$D$7:$G$175"),MATCH($Z$686,INDIRECT($Z$685&amp;"!$D$6:$Z$6"),0),0)),0,VLOOKUP($E699,INDIRECT($Z$685&amp;"!$D$7:$G$175"),MATCH($Z$686,INDIRECT($Z$685&amp;"!$D$6:$Z$6"),0),0))</f>
        <v>0</v>
      </c>
      <c r="P699" s="581"/>
      <c r="Q699" s="582"/>
      <c r="R699" s="580">
        <f ca="1">IF(ISERROR(VLOOKUP($E699,INDIRECT($Z$685&amp;"!$D$7:$G$175"),MATCH($Z$687,INDIRECT($Z$685&amp;"!$D$6:$Z$6"),0),0)),0,VLOOKUP($E699,INDIRECT($Z$685&amp;"!$D$7:$G$175"),MATCH($Z$687,INDIRECT($Z$685&amp;"!$D$6:$Z$6"),0),0))</f>
        <v>0</v>
      </c>
      <c r="S699" s="581"/>
      <c r="T699" s="583"/>
      <c r="U699" s="869"/>
      <c r="V699" s="870"/>
      <c r="W699" s="520"/>
      <c r="X699" s="511"/>
      <c r="Y699" s="511"/>
      <c r="Z699" s="511"/>
      <c r="AA699" s="511"/>
      <c r="AB699" s="511"/>
      <c r="AC699" s="511"/>
      <c r="AD699" s="511"/>
      <c r="AE699" s="511"/>
      <c r="AF699" s="511"/>
      <c r="AG699" s="511"/>
      <c r="AH699" s="511"/>
      <c r="AI699" s="511"/>
      <c r="AJ699" s="511"/>
      <c r="AK699" s="511"/>
      <c r="AL699" s="511"/>
      <c r="AM699" s="511"/>
      <c r="AN699" s="511"/>
      <c r="AO699" s="511"/>
      <c r="AP699" s="511"/>
      <c r="AQ699" s="511"/>
      <c r="AR699" s="511"/>
      <c r="AS699" s="511"/>
      <c r="AT699" s="511"/>
    </row>
    <row r="700" spans="2:46" s="510" customFormat="1" ht="24.95" customHeight="1" x14ac:dyDescent="0.15">
      <c r="B700" s="963"/>
      <c r="C700" s="997"/>
      <c r="D700" s="997"/>
      <c r="E700" s="892" t="s">
        <v>1923</v>
      </c>
      <c r="F700" s="893"/>
      <c r="G700" s="893"/>
      <c r="H700" s="893"/>
      <c r="I700" s="893"/>
      <c r="J700" s="893"/>
      <c r="K700" s="893"/>
      <c r="L700" s="917">
        <f t="shared" ca="1" si="26"/>
        <v>0</v>
      </c>
      <c r="M700" s="918"/>
      <c r="N700" s="919"/>
      <c r="O700" s="616">
        <f ca="1">SUM(O701:Q702)</f>
        <v>0</v>
      </c>
      <c r="P700" s="617"/>
      <c r="Q700" s="618"/>
      <c r="R700" s="616">
        <f ca="1">SUM(R701:T702)</f>
        <v>0</v>
      </c>
      <c r="S700" s="617"/>
      <c r="T700" s="891"/>
      <c r="U700" s="869"/>
      <c r="V700" s="870"/>
      <c r="W700" s="520"/>
      <c r="X700" s="511"/>
      <c r="Y700" s="511"/>
      <c r="Z700" s="511"/>
      <c r="AA700" s="511"/>
      <c r="AB700" s="511"/>
      <c r="AC700" s="511"/>
      <c r="AD700" s="511"/>
      <c r="AE700" s="511"/>
      <c r="AF700" s="511"/>
      <c r="AG700" s="511"/>
      <c r="AH700" s="511"/>
      <c r="AI700" s="511"/>
      <c r="AJ700" s="511"/>
      <c r="AK700" s="511"/>
      <c r="AL700" s="511"/>
      <c r="AM700" s="511"/>
      <c r="AN700" s="511"/>
      <c r="AO700" s="511"/>
      <c r="AP700" s="511"/>
      <c r="AQ700" s="511"/>
      <c r="AR700" s="511"/>
      <c r="AS700" s="511"/>
      <c r="AT700" s="511"/>
    </row>
    <row r="701" spans="2:46" s="510" customFormat="1" ht="24.95" hidden="1" customHeight="1" x14ac:dyDescent="0.15">
      <c r="B701" s="963"/>
      <c r="C701" s="997"/>
      <c r="D701" s="997"/>
      <c r="E701" s="584" t="s">
        <v>1689</v>
      </c>
      <c r="F701" s="585"/>
      <c r="G701" s="585"/>
      <c r="H701" s="585"/>
      <c r="I701" s="585"/>
      <c r="J701" s="585"/>
      <c r="K701" s="585"/>
      <c r="L701" s="577">
        <f t="shared" ca="1" si="26"/>
        <v>0</v>
      </c>
      <c r="M701" s="578"/>
      <c r="N701" s="579"/>
      <c r="O701" s="580">
        <f t="shared" ref="O701:O718" ca="1" si="29">IF(ISERROR(VLOOKUP($E701,INDIRECT($Z$685&amp;"!$D$7:$G$175"),MATCH($Z$686,INDIRECT($Z$685&amp;"!$D$6:$Z$6"),0),0)),0,VLOOKUP($E701,INDIRECT($Z$685&amp;"!$D$7:$G$175"),MATCH($Z$686,INDIRECT($Z$685&amp;"!$D$6:$Z$6"),0),0))</f>
        <v>0</v>
      </c>
      <c r="P701" s="581"/>
      <c r="Q701" s="582"/>
      <c r="R701" s="580">
        <f t="shared" ref="R701:R718" ca="1" si="30">IF(ISERROR(VLOOKUP($E701,INDIRECT($Z$685&amp;"!$D$7:$G$175"),MATCH($Z$687,INDIRECT($Z$685&amp;"!$D$6:$Z$6"),0),0)),0,VLOOKUP($E701,INDIRECT($Z$685&amp;"!$D$7:$G$175"),MATCH($Z$687,INDIRECT($Z$685&amp;"!$D$6:$Z$6"),0),0))</f>
        <v>0</v>
      </c>
      <c r="S701" s="581"/>
      <c r="T701" s="583"/>
      <c r="U701" s="869"/>
      <c r="V701" s="870"/>
      <c r="W701" s="520"/>
      <c r="X701" s="511"/>
      <c r="Y701" s="511"/>
      <c r="Z701" s="511"/>
      <c r="AA701" s="511"/>
      <c r="AB701" s="511"/>
      <c r="AC701" s="511"/>
      <c r="AD701" s="511"/>
      <c r="AE701" s="511"/>
      <c r="AF701" s="511"/>
      <c r="AG701" s="511"/>
      <c r="AH701" s="511"/>
      <c r="AI701" s="511"/>
      <c r="AJ701" s="511"/>
      <c r="AK701" s="511"/>
      <c r="AL701" s="511"/>
      <c r="AM701" s="511"/>
      <c r="AN701" s="511"/>
      <c r="AO701" s="511"/>
      <c r="AP701" s="511"/>
      <c r="AQ701" s="511"/>
      <c r="AR701" s="511"/>
      <c r="AS701" s="511"/>
      <c r="AT701" s="511"/>
    </row>
    <row r="702" spans="2:46" s="510" customFormat="1" ht="24.95" hidden="1" customHeight="1" x14ac:dyDescent="0.15">
      <c r="B702" s="963"/>
      <c r="C702" s="997"/>
      <c r="D702" s="997"/>
      <c r="E702" s="584" t="s">
        <v>1926</v>
      </c>
      <c r="F702" s="585"/>
      <c r="G702" s="585"/>
      <c r="H702" s="585"/>
      <c r="I702" s="585"/>
      <c r="J702" s="585"/>
      <c r="K702" s="585"/>
      <c r="L702" s="577">
        <f t="shared" ca="1" si="26"/>
        <v>0</v>
      </c>
      <c r="M702" s="578"/>
      <c r="N702" s="579"/>
      <c r="O702" s="580">
        <f t="shared" ca="1" si="29"/>
        <v>0</v>
      </c>
      <c r="P702" s="581"/>
      <c r="Q702" s="582"/>
      <c r="R702" s="580">
        <f t="shared" ca="1" si="30"/>
        <v>0</v>
      </c>
      <c r="S702" s="581"/>
      <c r="T702" s="583"/>
      <c r="U702" s="869"/>
      <c r="V702" s="870"/>
      <c r="W702" s="520"/>
      <c r="X702" s="511"/>
      <c r="Y702" s="511"/>
      <c r="Z702" s="511"/>
      <c r="AA702" s="511"/>
      <c r="AB702" s="511"/>
      <c r="AC702" s="511"/>
      <c r="AD702" s="511"/>
      <c r="AE702" s="511"/>
      <c r="AF702" s="511"/>
      <c r="AG702" s="511"/>
      <c r="AH702" s="511"/>
      <c r="AI702" s="511"/>
      <c r="AJ702" s="511"/>
      <c r="AK702" s="511"/>
      <c r="AL702" s="511"/>
      <c r="AM702" s="511"/>
      <c r="AN702" s="511"/>
      <c r="AO702" s="511"/>
      <c r="AP702" s="511"/>
      <c r="AQ702" s="511"/>
      <c r="AR702" s="511"/>
      <c r="AS702" s="511"/>
      <c r="AT702" s="511"/>
    </row>
    <row r="703" spans="2:46" s="510" customFormat="1" ht="24.95" customHeight="1" x14ac:dyDescent="0.15">
      <c r="B703" s="963"/>
      <c r="C703" s="997"/>
      <c r="D703" s="997"/>
      <c r="E703" s="999" t="s">
        <v>523</v>
      </c>
      <c r="F703" s="1000"/>
      <c r="G703" s="1000"/>
      <c r="H703" s="1000"/>
      <c r="I703" s="1000"/>
      <c r="J703" s="1000"/>
      <c r="K703" s="1000"/>
      <c r="L703" s="1001">
        <f t="shared" ca="1" si="26"/>
        <v>0</v>
      </c>
      <c r="M703" s="1002"/>
      <c r="N703" s="1003"/>
      <c r="O703" s="622">
        <f t="shared" ca="1" si="29"/>
        <v>0</v>
      </c>
      <c r="P703" s="623"/>
      <c r="Q703" s="624"/>
      <c r="R703" s="622">
        <f t="shared" ca="1" si="30"/>
        <v>0</v>
      </c>
      <c r="S703" s="623"/>
      <c r="T703" s="1533"/>
      <c r="U703" s="869"/>
      <c r="V703" s="870"/>
      <c r="W703" s="520"/>
      <c r="X703" s="511"/>
      <c r="Y703" s="511"/>
      <c r="Z703" s="511"/>
      <c r="AA703" s="511"/>
      <c r="AB703" s="511"/>
      <c r="AC703" s="511"/>
      <c r="AD703" s="511"/>
      <c r="AE703" s="511"/>
      <c r="AF703" s="511"/>
      <c r="AG703" s="511"/>
      <c r="AH703" s="511"/>
      <c r="AI703" s="511"/>
      <c r="AJ703" s="511"/>
      <c r="AK703" s="511"/>
      <c r="AL703" s="511"/>
      <c r="AM703" s="511"/>
      <c r="AN703" s="511"/>
      <c r="AO703" s="511"/>
      <c r="AP703" s="511"/>
      <c r="AQ703" s="511"/>
      <c r="AR703" s="511"/>
      <c r="AS703" s="511"/>
      <c r="AT703" s="511"/>
    </row>
    <row r="704" spans="2:46" s="510" customFormat="1" ht="24.95" customHeight="1" x14ac:dyDescent="0.15">
      <c r="B704" s="963"/>
      <c r="C704" s="997"/>
      <c r="D704" s="997"/>
      <c r="E704" s="1537" t="s">
        <v>1690</v>
      </c>
      <c r="F704" s="1538"/>
      <c r="G704" s="1538"/>
      <c r="H704" s="1538"/>
      <c r="I704" s="1538"/>
      <c r="J704" s="1538"/>
      <c r="K704" s="1538"/>
      <c r="L704" s="1534">
        <f t="shared" ca="1" si="26"/>
        <v>0</v>
      </c>
      <c r="M704" s="1535"/>
      <c r="N704" s="1536"/>
      <c r="O704" s="983">
        <f t="shared" ca="1" si="29"/>
        <v>0</v>
      </c>
      <c r="P704" s="984"/>
      <c r="Q704" s="985"/>
      <c r="R704" s="983">
        <f t="shared" ca="1" si="30"/>
        <v>0</v>
      </c>
      <c r="S704" s="984"/>
      <c r="T704" s="986"/>
      <c r="U704" s="869"/>
      <c r="V704" s="870"/>
      <c r="W704" s="520"/>
      <c r="X704" s="511"/>
      <c r="Y704" s="511"/>
      <c r="Z704" s="511"/>
      <c r="AA704" s="511"/>
      <c r="AB704" s="511"/>
      <c r="AC704" s="511"/>
      <c r="AD704" s="511"/>
      <c r="AE704" s="511"/>
      <c r="AF704" s="511"/>
      <c r="AG704" s="511"/>
      <c r="AH704" s="511"/>
      <c r="AI704" s="511"/>
      <c r="AJ704" s="511"/>
      <c r="AK704" s="511"/>
      <c r="AL704" s="511"/>
      <c r="AM704" s="511"/>
      <c r="AN704" s="511"/>
      <c r="AO704" s="511"/>
      <c r="AP704" s="511"/>
      <c r="AQ704" s="511"/>
      <c r="AR704" s="511"/>
      <c r="AS704" s="511"/>
      <c r="AT704" s="511"/>
    </row>
    <row r="705" spans="2:46" s="510" customFormat="1" ht="24.95" customHeight="1" thickBot="1" x14ac:dyDescent="0.2">
      <c r="B705" s="963"/>
      <c r="C705" s="997"/>
      <c r="D705" s="997"/>
      <c r="E705" s="1539" t="s">
        <v>525</v>
      </c>
      <c r="F705" s="1540"/>
      <c r="G705" s="1540"/>
      <c r="H705" s="1540"/>
      <c r="I705" s="1540"/>
      <c r="J705" s="1540"/>
      <c r="K705" s="1540"/>
      <c r="L705" s="1541">
        <f t="shared" ca="1" si="26"/>
        <v>0</v>
      </c>
      <c r="M705" s="1542"/>
      <c r="N705" s="1543"/>
      <c r="O705" s="1544">
        <f t="shared" ca="1" si="29"/>
        <v>0</v>
      </c>
      <c r="P705" s="1545"/>
      <c r="Q705" s="1546"/>
      <c r="R705" s="1544">
        <f t="shared" ca="1" si="30"/>
        <v>0</v>
      </c>
      <c r="S705" s="1545"/>
      <c r="T705" s="1547"/>
      <c r="U705" s="869"/>
      <c r="V705" s="870"/>
      <c r="W705" s="520"/>
      <c r="X705" s="511"/>
      <c r="Y705" s="511"/>
      <c r="Z705" s="511"/>
      <c r="AA705" s="511"/>
      <c r="AB705" s="511"/>
      <c r="AC705" s="511"/>
      <c r="AD705" s="511"/>
      <c r="AE705" s="511"/>
      <c r="AF705" s="511"/>
      <c r="AG705" s="511"/>
      <c r="AH705" s="511"/>
      <c r="AI705" s="511"/>
      <c r="AJ705" s="511"/>
      <c r="AK705" s="511"/>
      <c r="AL705" s="511"/>
      <c r="AM705" s="511"/>
      <c r="AN705" s="511"/>
      <c r="AO705" s="511"/>
      <c r="AP705" s="511"/>
      <c r="AQ705" s="511"/>
      <c r="AR705" s="511"/>
      <c r="AS705" s="511"/>
      <c r="AT705" s="511"/>
    </row>
    <row r="706" spans="2:46" s="510" customFormat="1" ht="24.95" customHeight="1" thickTop="1" thickBot="1" x14ac:dyDescent="0.2">
      <c r="B706" s="963"/>
      <c r="C706" s="997"/>
      <c r="D706" s="998"/>
      <c r="E706" s="903" t="s">
        <v>1691</v>
      </c>
      <c r="F706" s="904"/>
      <c r="G706" s="904"/>
      <c r="H706" s="904"/>
      <c r="I706" s="904"/>
      <c r="J706" s="904"/>
      <c r="K706" s="904"/>
      <c r="L706" s="1548">
        <f t="shared" ca="1" si="26"/>
        <v>0</v>
      </c>
      <c r="M706" s="1549"/>
      <c r="N706" s="1550"/>
      <c r="O706" s="634">
        <f t="shared" ca="1" si="29"/>
        <v>0</v>
      </c>
      <c r="P706" s="635"/>
      <c r="Q706" s="636"/>
      <c r="R706" s="634">
        <f t="shared" ca="1" si="30"/>
        <v>0</v>
      </c>
      <c r="S706" s="635"/>
      <c r="T706" s="1551"/>
      <c r="U706" s="871"/>
      <c r="V706" s="872"/>
      <c r="W706" s="520"/>
      <c r="X706" s="511"/>
      <c r="Y706" s="511"/>
      <c r="Z706" s="511"/>
      <c r="AA706" s="511"/>
      <c r="AB706" s="511"/>
      <c r="AC706" s="511"/>
      <c r="AD706" s="511"/>
      <c r="AE706" s="511"/>
      <c r="AF706" s="511"/>
      <c r="AG706" s="511"/>
      <c r="AH706" s="511"/>
      <c r="AI706" s="511"/>
      <c r="AJ706" s="511"/>
      <c r="AK706" s="511"/>
      <c r="AL706" s="511"/>
      <c r="AM706" s="511"/>
      <c r="AN706" s="511"/>
      <c r="AO706" s="511"/>
      <c r="AP706" s="511"/>
      <c r="AQ706" s="511"/>
      <c r="AR706" s="511"/>
      <c r="AS706" s="511"/>
      <c r="AT706" s="511"/>
    </row>
    <row r="707" spans="2:46" s="510" customFormat="1" ht="24.95" customHeight="1" thickTop="1" x14ac:dyDescent="0.15">
      <c r="B707" s="963"/>
      <c r="C707" s="997"/>
      <c r="D707" s="1562" t="s">
        <v>1319</v>
      </c>
      <c r="E707" s="1537" t="s">
        <v>527</v>
      </c>
      <c r="F707" s="1538"/>
      <c r="G707" s="1538"/>
      <c r="H707" s="1538"/>
      <c r="I707" s="1538"/>
      <c r="J707" s="1538"/>
      <c r="K707" s="1538"/>
      <c r="L707" s="1534">
        <f t="shared" ca="1" si="26"/>
        <v>0</v>
      </c>
      <c r="M707" s="1535"/>
      <c r="N707" s="1536"/>
      <c r="O707" s="1552">
        <f t="shared" ca="1" si="29"/>
        <v>0</v>
      </c>
      <c r="P707" s="1553"/>
      <c r="Q707" s="1554"/>
      <c r="R707" s="1552">
        <f t="shared" ca="1" si="30"/>
        <v>0</v>
      </c>
      <c r="S707" s="1553"/>
      <c r="T707" s="1555"/>
      <c r="U707" s="992">
        <f ca="1">IF($L$707=0,0,($L$707+$L$713)/($L$706-$L$704))</f>
        <v>0</v>
      </c>
      <c r="V707" s="993"/>
      <c r="W707" s="520"/>
      <c r="X707" s="511"/>
      <c r="Y707" s="511"/>
      <c r="Z707" s="511"/>
      <c r="AA707" s="511"/>
      <c r="AB707" s="511"/>
      <c r="AC707" s="511"/>
      <c r="AD707" s="511"/>
      <c r="AE707" s="511"/>
      <c r="AF707" s="511"/>
      <c r="AG707" s="511"/>
      <c r="AH707" s="511"/>
      <c r="AI707" s="511"/>
      <c r="AJ707" s="511"/>
      <c r="AK707" s="511"/>
      <c r="AL707" s="511"/>
      <c r="AM707" s="511"/>
      <c r="AN707" s="511"/>
      <c r="AO707" s="511"/>
      <c r="AP707" s="511"/>
      <c r="AQ707" s="511"/>
      <c r="AR707" s="511"/>
      <c r="AS707" s="511"/>
      <c r="AT707" s="511"/>
    </row>
    <row r="708" spans="2:46" s="510" customFormat="1" ht="24.95" customHeight="1" x14ac:dyDescent="0.15">
      <c r="B708" s="963"/>
      <c r="C708" s="997"/>
      <c r="D708" s="997"/>
      <c r="E708" s="1556" t="s">
        <v>528</v>
      </c>
      <c r="F708" s="1557"/>
      <c r="G708" s="1557"/>
      <c r="H708" s="1557"/>
      <c r="I708" s="1557"/>
      <c r="J708" s="1557"/>
      <c r="K708" s="1557"/>
      <c r="L708" s="980">
        <f t="shared" ca="1" si="26"/>
        <v>0</v>
      </c>
      <c r="M708" s="981"/>
      <c r="N708" s="982"/>
      <c r="O708" s="983">
        <f t="shared" ca="1" si="29"/>
        <v>0</v>
      </c>
      <c r="P708" s="984"/>
      <c r="Q708" s="985"/>
      <c r="R708" s="983">
        <f t="shared" ca="1" si="30"/>
        <v>0</v>
      </c>
      <c r="S708" s="984"/>
      <c r="T708" s="986"/>
      <c r="U708" s="992">
        <f ca="1">IF($L$708=0,0,$L$708/($L$706-$L$704))</f>
        <v>0</v>
      </c>
      <c r="V708" s="993"/>
      <c r="W708" s="520"/>
      <c r="X708" s="511"/>
      <c r="Y708" s="511"/>
      <c r="Z708" s="511"/>
      <c r="AA708" s="511"/>
      <c r="AB708" s="511"/>
      <c r="AC708" s="511"/>
      <c r="AD708" s="511"/>
      <c r="AE708" s="511"/>
      <c r="AF708" s="511"/>
      <c r="AG708" s="511"/>
      <c r="AH708" s="511"/>
      <c r="AI708" s="511"/>
      <c r="AJ708" s="511"/>
      <c r="AK708" s="511"/>
      <c r="AL708" s="511"/>
      <c r="AM708" s="511"/>
      <c r="AN708" s="511"/>
      <c r="AO708" s="511"/>
      <c r="AP708" s="511"/>
      <c r="AQ708" s="511"/>
      <c r="AR708" s="511"/>
      <c r="AS708" s="511"/>
      <c r="AT708" s="511"/>
    </row>
    <row r="709" spans="2:46" s="510" customFormat="1" ht="24.95" customHeight="1" x14ac:dyDescent="0.15">
      <c r="B709" s="963"/>
      <c r="C709" s="997"/>
      <c r="D709" s="997"/>
      <c r="E709" s="978" t="s">
        <v>529</v>
      </c>
      <c r="F709" s="979"/>
      <c r="G709" s="979"/>
      <c r="H709" s="979"/>
      <c r="I709" s="979"/>
      <c r="J709" s="979"/>
      <c r="K709" s="979"/>
      <c r="L709" s="1534">
        <f t="shared" ca="1" si="26"/>
        <v>0</v>
      </c>
      <c r="M709" s="1535"/>
      <c r="N709" s="1536"/>
      <c r="O709" s="983">
        <f t="shared" ca="1" si="29"/>
        <v>0</v>
      </c>
      <c r="P709" s="984"/>
      <c r="Q709" s="985"/>
      <c r="R709" s="983">
        <f t="shared" ca="1" si="30"/>
        <v>0</v>
      </c>
      <c r="S709" s="984"/>
      <c r="T709" s="986"/>
      <c r="U709" s="992">
        <f ca="1">IF($L$709=0,0,$L$709/($L$706-$L$704))</f>
        <v>0</v>
      </c>
      <c r="V709" s="993"/>
      <c r="W709" s="520"/>
      <c r="X709" s="511"/>
      <c r="Y709" s="511"/>
      <c r="Z709" s="511"/>
      <c r="AA709" s="511"/>
      <c r="AB709" s="511"/>
      <c r="AC709" s="511"/>
      <c r="AD709" s="511"/>
      <c r="AE709" s="511"/>
      <c r="AF709" s="511"/>
      <c r="AG709" s="511"/>
      <c r="AH709" s="511"/>
      <c r="AI709" s="511"/>
      <c r="AJ709" s="511"/>
      <c r="AK709" s="511"/>
      <c r="AL709" s="511"/>
      <c r="AM709" s="511"/>
      <c r="AN709" s="511"/>
      <c r="AO709" s="511"/>
      <c r="AP709" s="511"/>
      <c r="AQ709" s="511"/>
      <c r="AR709" s="511"/>
      <c r="AS709" s="511"/>
      <c r="AT709" s="511"/>
    </row>
    <row r="710" spans="2:46" s="510" customFormat="1" ht="24.95" customHeight="1" x14ac:dyDescent="0.15">
      <c r="B710" s="963"/>
      <c r="C710" s="997"/>
      <c r="D710" s="997"/>
      <c r="E710" s="1558" t="s">
        <v>530</v>
      </c>
      <c r="F710" s="1559"/>
      <c r="G710" s="1559"/>
      <c r="H710" s="1559"/>
      <c r="I710" s="1559"/>
      <c r="J710" s="1559"/>
      <c r="K710" s="1559"/>
      <c r="L710" s="989">
        <f t="shared" ca="1" si="26"/>
        <v>0</v>
      </c>
      <c r="M710" s="990"/>
      <c r="N710" s="991"/>
      <c r="O710" s="610">
        <f t="shared" ca="1" si="29"/>
        <v>0</v>
      </c>
      <c r="P710" s="611"/>
      <c r="Q710" s="612"/>
      <c r="R710" s="610">
        <f t="shared" ca="1" si="30"/>
        <v>0</v>
      </c>
      <c r="S710" s="611"/>
      <c r="T710" s="996"/>
      <c r="U710" s="1563">
        <f ca="1">IF($L$710=0,0,$L$710/($L$706-$L$704))</f>
        <v>0</v>
      </c>
      <c r="V710" s="1564"/>
      <c r="W710" s="520"/>
      <c r="X710" s="511"/>
      <c r="Y710" s="511"/>
      <c r="Z710" s="511"/>
      <c r="AA710" s="511"/>
      <c r="AB710" s="511"/>
      <c r="AC710" s="511"/>
      <c r="AD710" s="511"/>
      <c r="AE710" s="511"/>
      <c r="AF710" s="511"/>
      <c r="AG710" s="511"/>
      <c r="AH710" s="511"/>
      <c r="AI710" s="511"/>
      <c r="AJ710" s="511"/>
      <c r="AK710" s="511"/>
      <c r="AL710" s="511"/>
      <c r="AM710" s="511"/>
      <c r="AN710" s="511"/>
      <c r="AO710" s="511"/>
      <c r="AP710" s="511"/>
      <c r="AQ710" s="511"/>
      <c r="AR710" s="511"/>
      <c r="AS710" s="511"/>
      <c r="AT710" s="511"/>
    </row>
    <row r="711" spans="2:46" s="510" customFormat="1" ht="24.95" customHeight="1" x14ac:dyDescent="0.15">
      <c r="B711" s="963"/>
      <c r="C711" s="997"/>
      <c r="D711" s="997"/>
      <c r="E711" s="999" t="s">
        <v>531</v>
      </c>
      <c r="F711" s="1000"/>
      <c r="G711" s="1000"/>
      <c r="H711" s="1000"/>
      <c r="I711" s="1000"/>
      <c r="J711" s="1000"/>
      <c r="K711" s="1000"/>
      <c r="L711" s="1001">
        <f t="shared" ca="1" si="26"/>
        <v>0</v>
      </c>
      <c r="M711" s="1002"/>
      <c r="N711" s="1003"/>
      <c r="O711" s="622">
        <f t="shared" ca="1" si="29"/>
        <v>0</v>
      </c>
      <c r="P711" s="623"/>
      <c r="Q711" s="624"/>
      <c r="R711" s="622">
        <f t="shared" ca="1" si="30"/>
        <v>0</v>
      </c>
      <c r="S711" s="623"/>
      <c r="T711" s="1533"/>
      <c r="U711" s="1565">
        <f ca="1">IF($L$711=0,0,$L$711/($L$706-$L$704))</f>
        <v>0</v>
      </c>
      <c r="V711" s="1566"/>
      <c r="W711" s="520"/>
      <c r="X711" s="511"/>
      <c r="Y711" s="511"/>
      <c r="Z711" s="511"/>
      <c r="AA711" s="511"/>
      <c r="AB711" s="511"/>
      <c r="AC711" s="511"/>
      <c r="AD711" s="511"/>
      <c r="AE711" s="511"/>
      <c r="AF711" s="511"/>
      <c r="AG711" s="511"/>
      <c r="AH711" s="511"/>
      <c r="AI711" s="511"/>
      <c r="AJ711" s="511"/>
      <c r="AK711" s="511"/>
      <c r="AL711" s="511"/>
      <c r="AM711" s="511"/>
      <c r="AN711" s="511"/>
      <c r="AO711" s="511"/>
      <c r="AP711" s="511"/>
      <c r="AQ711" s="511"/>
      <c r="AR711" s="511"/>
      <c r="AS711" s="511"/>
      <c r="AT711" s="511"/>
    </row>
    <row r="712" spans="2:46" s="510" customFormat="1" ht="24.95" customHeight="1" x14ac:dyDescent="0.15">
      <c r="B712" s="963"/>
      <c r="C712" s="997"/>
      <c r="D712" s="997"/>
      <c r="E712" s="978" t="s">
        <v>532</v>
      </c>
      <c r="F712" s="979"/>
      <c r="G712" s="979"/>
      <c r="H712" s="979"/>
      <c r="I712" s="979"/>
      <c r="J712" s="979"/>
      <c r="K712" s="979"/>
      <c r="L712" s="1534">
        <f t="shared" ca="1" si="26"/>
        <v>0</v>
      </c>
      <c r="M712" s="1535"/>
      <c r="N712" s="1536"/>
      <c r="O712" s="983">
        <f t="shared" ca="1" si="29"/>
        <v>0</v>
      </c>
      <c r="P712" s="984"/>
      <c r="Q712" s="985"/>
      <c r="R712" s="983">
        <f t="shared" ca="1" si="30"/>
        <v>0</v>
      </c>
      <c r="S712" s="984"/>
      <c r="T712" s="986"/>
      <c r="U712" s="992">
        <f ca="1">IF($L$712=0,0,($L$712-$L$713-$L$716)/($L$706-$L$704))</f>
        <v>0</v>
      </c>
      <c r="V712" s="993"/>
      <c r="W712" s="520"/>
      <c r="X712" s="511"/>
      <c r="Y712" s="511"/>
      <c r="Z712" s="511"/>
      <c r="AA712" s="511"/>
      <c r="AB712" s="511"/>
      <c r="AC712" s="511"/>
      <c r="AD712" s="511"/>
      <c r="AE712" s="511"/>
      <c r="AF712" s="511"/>
      <c r="AG712" s="511"/>
      <c r="AH712" s="511"/>
      <c r="AI712" s="511"/>
      <c r="AJ712" s="511"/>
      <c r="AK712" s="511"/>
      <c r="AL712" s="511"/>
      <c r="AM712" s="511"/>
      <c r="AN712" s="511"/>
      <c r="AO712" s="511"/>
      <c r="AP712" s="511"/>
      <c r="AQ712" s="511"/>
      <c r="AR712" s="511"/>
      <c r="AS712" s="511"/>
      <c r="AT712" s="511"/>
    </row>
    <row r="713" spans="2:46" s="510" customFormat="1" ht="24.95" customHeight="1" x14ac:dyDescent="0.15">
      <c r="B713" s="963"/>
      <c r="C713" s="997"/>
      <c r="D713" s="997"/>
      <c r="E713" s="1558" t="s">
        <v>533</v>
      </c>
      <c r="F713" s="1559"/>
      <c r="G713" s="1559"/>
      <c r="H713" s="1559"/>
      <c r="I713" s="1559"/>
      <c r="J713" s="1559"/>
      <c r="K713" s="1559"/>
      <c r="L713" s="989">
        <f t="shared" ca="1" si="26"/>
        <v>0</v>
      </c>
      <c r="M713" s="990"/>
      <c r="N713" s="991"/>
      <c r="O713" s="610">
        <f t="shared" ca="1" si="29"/>
        <v>0</v>
      </c>
      <c r="P713" s="611"/>
      <c r="Q713" s="612"/>
      <c r="R713" s="610">
        <f t="shared" ca="1" si="30"/>
        <v>0</v>
      </c>
      <c r="S713" s="611"/>
      <c r="T713" s="996"/>
      <c r="U713" s="1567"/>
      <c r="V713" s="1568"/>
      <c r="W713" s="520"/>
      <c r="X713" s="511"/>
      <c r="Y713" s="511"/>
      <c r="Z713" s="511"/>
      <c r="AA713" s="511"/>
      <c r="AB713" s="511"/>
      <c r="AC713" s="511"/>
      <c r="AD713" s="511"/>
      <c r="AE713" s="511"/>
      <c r="AF713" s="511"/>
      <c r="AG713" s="511"/>
      <c r="AH713" s="511"/>
      <c r="AI713" s="511"/>
      <c r="AJ713" s="511"/>
      <c r="AK713" s="511"/>
      <c r="AL713" s="511"/>
      <c r="AM713" s="511"/>
      <c r="AN713" s="511"/>
      <c r="AO713" s="511"/>
      <c r="AP713" s="511"/>
      <c r="AQ713" s="511"/>
      <c r="AR713" s="511"/>
      <c r="AS713" s="511"/>
      <c r="AT713" s="511"/>
    </row>
    <row r="714" spans="2:46" s="510" customFormat="1" ht="24.95" customHeight="1" x14ac:dyDescent="0.15">
      <c r="B714" s="963"/>
      <c r="C714" s="997"/>
      <c r="D714" s="997"/>
      <c r="E714" s="892" t="s">
        <v>1356</v>
      </c>
      <c r="F714" s="893"/>
      <c r="G714" s="893"/>
      <c r="H714" s="893"/>
      <c r="I714" s="893"/>
      <c r="J714" s="893"/>
      <c r="K714" s="893"/>
      <c r="L714" s="917">
        <f t="shared" ca="1" si="26"/>
        <v>0</v>
      </c>
      <c r="M714" s="918"/>
      <c r="N714" s="919"/>
      <c r="O714" s="616">
        <f t="shared" ca="1" si="29"/>
        <v>0</v>
      </c>
      <c r="P714" s="617"/>
      <c r="Q714" s="618"/>
      <c r="R714" s="616">
        <f t="shared" ca="1" si="30"/>
        <v>0</v>
      </c>
      <c r="S714" s="617"/>
      <c r="T714" s="891"/>
      <c r="U714" s="994">
        <f ca="1">IF($L$714=0,0,$L$714/($L$706-$L$704))</f>
        <v>0</v>
      </c>
      <c r="V714" s="995"/>
      <c r="W714" s="520"/>
      <c r="X714" s="511"/>
      <c r="Y714" s="511"/>
      <c r="Z714" s="511"/>
      <c r="AA714" s="511"/>
      <c r="AB714" s="511"/>
      <c r="AC714" s="511"/>
      <c r="AD714" s="511"/>
      <c r="AE714" s="511"/>
      <c r="AF714" s="511"/>
      <c r="AG714" s="511"/>
      <c r="AH714" s="511"/>
      <c r="AI714" s="511"/>
      <c r="AJ714" s="511"/>
      <c r="AK714" s="511"/>
      <c r="AL714" s="511"/>
      <c r="AM714" s="511"/>
      <c r="AN714" s="511"/>
      <c r="AO714" s="511"/>
      <c r="AP714" s="511"/>
      <c r="AQ714" s="511"/>
      <c r="AR714" s="511"/>
      <c r="AS714" s="511"/>
      <c r="AT714" s="511"/>
    </row>
    <row r="715" spans="2:46" s="510" customFormat="1" ht="24.95" customHeight="1" x14ac:dyDescent="0.15">
      <c r="B715" s="963"/>
      <c r="C715" s="997"/>
      <c r="D715" s="997"/>
      <c r="E715" s="892" t="s">
        <v>1692</v>
      </c>
      <c r="F715" s="893"/>
      <c r="G715" s="893"/>
      <c r="H715" s="893"/>
      <c r="I715" s="893"/>
      <c r="J715" s="893"/>
      <c r="K715" s="893"/>
      <c r="L715" s="917">
        <f t="shared" ca="1" si="26"/>
        <v>0</v>
      </c>
      <c r="M715" s="918"/>
      <c r="N715" s="919"/>
      <c r="O715" s="616">
        <f t="shared" ca="1" si="29"/>
        <v>0</v>
      </c>
      <c r="P715" s="617"/>
      <c r="Q715" s="618"/>
      <c r="R715" s="616">
        <f t="shared" ca="1" si="30"/>
        <v>0</v>
      </c>
      <c r="S715" s="617"/>
      <c r="T715" s="891"/>
      <c r="U715" s="994">
        <f ca="1">IF($L$715=0,0,$L$715/($L$706-$L$704))</f>
        <v>0</v>
      </c>
      <c r="V715" s="995"/>
      <c r="W715" s="520"/>
      <c r="X715" s="511"/>
      <c r="Y715" s="511"/>
      <c r="Z715" s="511"/>
      <c r="AA715" s="511"/>
      <c r="AB715" s="511"/>
      <c r="AC715" s="511"/>
      <c r="AD715" s="511"/>
      <c r="AE715" s="511"/>
      <c r="AF715" s="511"/>
      <c r="AG715" s="511"/>
      <c r="AH715" s="511"/>
      <c r="AI715" s="511"/>
      <c r="AJ715" s="511"/>
      <c r="AK715" s="511"/>
      <c r="AL715" s="511"/>
      <c r="AM715" s="511"/>
      <c r="AN715" s="511"/>
      <c r="AO715" s="511"/>
      <c r="AP715" s="511"/>
      <c r="AQ715" s="511"/>
      <c r="AR715" s="511"/>
      <c r="AS715" s="511"/>
      <c r="AT715" s="511"/>
    </row>
    <row r="716" spans="2:46" s="510" customFormat="1" ht="24.95" customHeight="1" x14ac:dyDescent="0.15">
      <c r="B716" s="963"/>
      <c r="C716" s="997"/>
      <c r="D716" s="997"/>
      <c r="E716" s="892" t="s">
        <v>534</v>
      </c>
      <c r="F716" s="893"/>
      <c r="G716" s="893"/>
      <c r="H716" s="893"/>
      <c r="I716" s="893"/>
      <c r="J716" s="893"/>
      <c r="K716" s="893"/>
      <c r="L716" s="917">
        <f t="shared" ca="1" si="26"/>
        <v>0</v>
      </c>
      <c r="M716" s="918"/>
      <c r="N716" s="919"/>
      <c r="O716" s="616">
        <f t="shared" ca="1" si="29"/>
        <v>0</v>
      </c>
      <c r="P716" s="617"/>
      <c r="Q716" s="618"/>
      <c r="R716" s="616">
        <f t="shared" ca="1" si="30"/>
        <v>0</v>
      </c>
      <c r="S716" s="617"/>
      <c r="T716" s="891"/>
      <c r="U716" s="994">
        <f ca="1">IF($L$716=0,0,$L$716/($L$706-$L$704))</f>
        <v>0</v>
      </c>
      <c r="V716" s="995"/>
      <c r="W716" s="520"/>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row>
    <row r="717" spans="2:46" s="510" customFormat="1" ht="24.95" customHeight="1" x14ac:dyDescent="0.15">
      <c r="B717" s="963"/>
      <c r="C717" s="997"/>
      <c r="D717" s="997"/>
      <c r="E717" s="999" t="s">
        <v>535</v>
      </c>
      <c r="F717" s="1000"/>
      <c r="G717" s="1000"/>
      <c r="H717" s="1000"/>
      <c r="I717" s="1000"/>
      <c r="J717" s="1000"/>
      <c r="K717" s="1000"/>
      <c r="L717" s="1001">
        <f t="shared" ca="1" si="26"/>
        <v>0</v>
      </c>
      <c r="M717" s="1002"/>
      <c r="N717" s="1003"/>
      <c r="O717" s="622">
        <f t="shared" ca="1" si="29"/>
        <v>0</v>
      </c>
      <c r="P717" s="623"/>
      <c r="Q717" s="624"/>
      <c r="R717" s="622">
        <f t="shared" ca="1" si="30"/>
        <v>0</v>
      </c>
      <c r="S717" s="623"/>
      <c r="T717" s="1533"/>
      <c r="U717" s="1565">
        <f ca="1">IF($L$717=0,0,$L$717/($L$706-$L$704))</f>
        <v>0</v>
      </c>
      <c r="V717" s="1566"/>
      <c r="W717" s="520"/>
      <c r="X717" s="511"/>
      <c r="Y717" s="511"/>
      <c r="Z717" s="511"/>
      <c r="AA717" s="511"/>
      <c r="AB717" s="511"/>
      <c r="AC717" s="511"/>
      <c r="AD717" s="511"/>
      <c r="AE717" s="511"/>
      <c r="AF717" s="511"/>
      <c r="AG717" s="511"/>
      <c r="AH717" s="511"/>
      <c r="AI717" s="511"/>
      <c r="AJ717" s="511"/>
      <c r="AK717" s="511"/>
      <c r="AL717" s="511"/>
      <c r="AM717" s="511"/>
      <c r="AN717" s="511"/>
      <c r="AO717" s="511"/>
      <c r="AP717" s="511"/>
      <c r="AQ717" s="511"/>
      <c r="AR717" s="511"/>
      <c r="AS717" s="511"/>
      <c r="AT717" s="511"/>
    </row>
    <row r="718" spans="2:46" s="510" customFormat="1" ht="24.95" customHeight="1" x14ac:dyDescent="0.15">
      <c r="B718" s="963"/>
      <c r="C718" s="997"/>
      <c r="D718" s="997"/>
      <c r="E718" s="978" t="s">
        <v>537</v>
      </c>
      <c r="F718" s="979"/>
      <c r="G718" s="979"/>
      <c r="H718" s="979"/>
      <c r="I718" s="979"/>
      <c r="J718" s="979"/>
      <c r="K718" s="979"/>
      <c r="L718" s="980">
        <f t="shared" ca="1" si="26"/>
        <v>0</v>
      </c>
      <c r="M718" s="981"/>
      <c r="N718" s="982"/>
      <c r="O718" s="983">
        <f t="shared" ca="1" si="29"/>
        <v>0</v>
      </c>
      <c r="P718" s="984"/>
      <c r="Q718" s="985"/>
      <c r="R718" s="983">
        <f t="shared" ca="1" si="30"/>
        <v>0</v>
      </c>
      <c r="S718" s="984"/>
      <c r="T718" s="986"/>
      <c r="U718" s="992">
        <f ca="1">IF($L$718=0,0,($L$718-$L$719)/($L$706-$L$704))</f>
        <v>0</v>
      </c>
      <c r="V718" s="993"/>
      <c r="W718" s="520"/>
      <c r="X718" s="511"/>
      <c r="Y718" s="511"/>
      <c r="Z718" s="511"/>
      <c r="AA718" s="511"/>
      <c r="AB718" s="511"/>
      <c r="AC718" s="511"/>
      <c r="AD718" s="511"/>
      <c r="AE718" s="511"/>
      <c r="AF718" s="511"/>
      <c r="AG718" s="511"/>
      <c r="AH718" s="511"/>
      <c r="AI718" s="511"/>
      <c r="AJ718" s="511"/>
      <c r="AK718" s="511"/>
      <c r="AL718" s="511"/>
      <c r="AM718" s="511"/>
      <c r="AN718" s="511"/>
      <c r="AO718" s="511"/>
      <c r="AP718" s="511"/>
      <c r="AQ718" s="511"/>
      <c r="AR718" s="511"/>
      <c r="AS718" s="511"/>
      <c r="AT718" s="511"/>
    </row>
    <row r="719" spans="2:46" s="510" customFormat="1" ht="24.95" customHeight="1" thickBot="1" x14ac:dyDescent="0.2">
      <c r="B719" s="963"/>
      <c r="C719" s="997"/>
      <c r="D719" s="997"/>
      <c r="E719" s="1560" t="s">
        <v>1693</v>
      </c>
      <c r="F719" s="1561"/>
      <c r="G719" s="1561"/>
      <c r="H719" s="1561"/>
      <c r="I719" s="1561"/>
      <c r="J719" s="1561"/>
      <c r="K719" s="1561"/>
      <c r="L719" s="1541">
        <f t="shared" ca="1" si="26"/>
        <v>0</v>
      </c>
      <c r="M719" s="1542"/>
      <c r="N719" s="1543"/>
      <c r="O719" s="1544">
        <f ca="1">IF(ISERROR(VLOOKUP($E719,INDIRECT($Z$685&amp;"!$D$7:$G$175"),MATCH($Z$686,INDIRECT($Z$685&amp;"!$D$6:$Z$6"),0),0)),0,(VLOOKUP($E719,INDIRECT($Z$685&amp;"!$D$7:$G$175"),MATCH($Z$686,INDIRECT($Z$685&amp;"!$D$6:$Z$6"),0),0)*-1))</f>
        <v>0</v>
      </c>
      <c r="P719" s="1545"/>
      <c r="Q719" s="1546"/>
      <c r="R719" s="1544">
        <f ca="1">IF(ISERROR(VLOOKUP($E719,INDIRECT($Z$685&amp;"!$D$7:$G$175"),MATCH($Z$687,INDIRECT($Z$685&amp;"!$D$6:$Z$6"),0),0)),0,VLOOKUP($E719,INDIRECT($Z$685&amp;"!$D$7:$G$175"),MATCH($Z$687,INDIRECT($Z$685&amp;"!$D$6:$Z$6"),0),0)*-1)</f>
        <v>0</v>
      </c>
      <c r="S719" s="1545"/>
      <c r="T719" s="1547"/>
      <c r="U719" s="867"/>
      <c r="V719" s="868"/>
      <c r="W719" s="523" t="s">
        <v>1694</v>
      </c>
      <c r="X719" s="511"/>
      <c r="Y719" s="511"/>
      <c r="Z719" s="511"/>
      <c r="AA719" s="511"/>
      <c r="AB719" s="511"/>
      <c r="AC719" s="511"/>
      <c r="AD719" s="511"/>
      <c r="AE719" s="511"/>
      <c r="AF719" s="511"/>
      <c r="AG719" s="511"/>
      <c r="AH719" s="511"/>
      <c r="AI719" s="511"/>
      <c r="AJ719" s="511"/>
      <c r="AK719" s="511"/>
      <c r="AL719" s="511"/>
      <c r="AM719" s="511"/>
      <c r="AN719" s="511"/>
      <c r="AO719" s="511"/>
      <c r="AP719" s="511"/>
      <c r="AQ719" s="511"/>
      <c r="AR719" s="511"/>
      <c r="AS719" s="511"/>
      <c r="AT719" s="511"/>
    </row>
    <row r="720" spans="2:46" s="510" customFormat="1" ht="24.95" customHeight="1" thickTop="1" thickBot="1" x14ac:dyDescent="0.2">
      <c r="B720" s="963"/>
      <c r="C720" s="997"/>
      <c r="D720" s="997"/>
      <c r="E720" s="903" t="s">
        <v>1695</v>
      </c>
      <c r="F720" s="904"/>
      <c r="G720" s="904"/>
      <c r="H720" s="904"/>
      <c r="I720" s="904"/>
      <c r="J720" s="904"/>
      <c r="K720" s="904"/>
      <c r="L720" s="1548">
        <f t="shared" ca="1" si="26"/>
        <v>0</v>
      </c>
      <c r="M720" s="1549"/>
      <c r="N720" s="1550"/>
      <c r="O720" s="634">
        <f ca="1">IF(ISERROR(VLOOKUP($E720,INDIRECT($Z$685&amp;"!$D$7:$G$175"),MATCH($Z$686,INDIRECT($Z$685&amp;"!$D$6:$Z$6"),0),0)),0,VLOOKUP($E720,INDIRECT($Z$685&amp;"!$D$7:$G$175"),MATCH($Z$686,INDIRECT($Z$685&amp;"!$D$6:$Z$6"),0),0))</f>
        <v>0</v>
      </c>
      <c r="P720" s="635"/>
      <c r="Q720" s="636"/>
      <c r="R720" s="634">
        <f ca="1">IF(ISERROR(VLOOKUP($E720,INDIRECT($Z$685&amp;"!$D$7:$G$175"),MATCH($Z$687,INDIRECT($Z$685&amp;"!$D$6:$Z$6"),0),0)),0,VLOOKUP($E720,INDIRECT($Z$685&amp;"!$D$7:$G$175"),MATCH($Z$687,INDIRECT($Z$685&amp;"!$D$6:$Z$6"),0),0))</f>
        <v>0</v>
      </c>
      <c r="S720" s="635"/>
      <c r="T720" s="1551"/>
      <c r="U720" s="869"/>
      <c r="V720" s="870"/>
      <c r="W720" s="520"/>
      <c r="X720" s="511"/>
      <c r="Y720" s="511"/>
      <c r="Z720" s="511"/>
      <c r="AA720" s="511"/>
      <c r="AB720" s="511"/>
      <c r="AC720" s="511"/>
      <c r="AD720" s="511"/>
      <c r="AE720" s="511"/>
      <c r="AF720" s="511"/>
      <c r="AG720" s="511"/>
      <c r="AH720" s="511"/>
      <c r="AI720" s="511"/>
      <c r="AJ720" s="511"/>
      <c r="AK720" s="511"/>
      <c r="AL720" s="511"/>
      <c r="AM720" s="511"/>
      <c r="AN720" s="511"/>
      <c r="AO720" s="511"/>
      <c r="AP720" s="511"/>
      <c r="AQ720" s="511"/>
      <c r="AR720" s="511"/>
      <c r="AS720" s="511"/>
      <c r="AT720" s="511"/>
    </row>
    <row r="721" spans="1:46" s="510" customFormat="1" ht="24.95" customHeight="1" thickTop="1" thickBot="1" x14ac:dyDescent="0.2">
      <c r="B721" s="963"/>
      <c r="C721" s="998"/>
      <c r="D721" s="903" t="s">
        <v>1696</v>
      </c>
      <c r="E721" s="904"/>
      <c r="F721" s="904"/>
      <c r="G721" s="904"/>
      <c r="H721" s="904"/>
      <c r="I721" s="904"/>
      <c r="J721" s="904"/>
      <c r="K721" s="904"/>
      <c r="L721" s="1548">
        <f t="shared" ca="1" si="26"/>
        <v>0</v>
      </c>
      <c r="M721" s="1549"/>
      <c r="N721" s="1550"/>
      <c r="O721" s="634">
        <f ca="1">IF(ISERROR(VLOOKUP($D721,INDIRECT($Z$685&amp;"!$c$7:$G$175"),MATCH($Z$686,INDIRECT($Z$685&amp;"!$c$6:$Z$6"),0),0)),0,VLOOKUP($D721,INDIRECT($Z$685&amp;"!$c$7:$G$175"),MATCH($Z$686,INDIRECT($Z$685&amp;"!$c$6:$Z$6"),0),0))</f>
        <v>0</v>
      </c>
      <c r="P721" s="635"/>
      <c r="Q721" s="636"/>
      <c r="R721" s="634">
        <f ca="1">IF(ISERROR(VLOOKUP($D721,INDIRECT($Z$685&amp;"!$c$7:$G$175"),MATCH($Z$687,INDIRECT($Z$685&amp;"!$c$6:$Z$6"),0),0)),0,VLOOKUP($D721,INDIRECT($Z$685&amp;"!$c$7:$G$175"),MATCH($Z$687,INDIRECT($Z$685&amp;"!$c$6:$Z$6"),0),0))</f>
        <v>0</v>
      </c>
      <c r="S721" s="635"/>
      <c r="T721" s="1551"/>
      <c r="U721" s="1569">
        <f ca="1">IF($L$721=0,0,$L$721/($L$706-$L$704))</f>
        <v>0</v>
      </c>
      <c r="V721" s="1570"/>
      <c r="W721" s="520"/>
      <c r="X721" s="511"/>
      <c r="Y721" s="511"/>
      <c r="Z721" s="511"/>
      <c r="AA721" s="511"/>
      <c r="AB721" s="511"/>
      <c r="AC721" s="511"/>
      <c r="AD721" s="511"/>
      <c r="AE721" s="511"/>
      <c r="AF721" s="511"/>
      <c r="AG721" s="511"/>
      <c r="AH721" s="511"/>
      <c r="AI721" s="511"/>
      <c r="AJ721" s="511"/>
      <c r="AK721" s="511"/>
      <c r="AL721" s="511"/>
      <c r="AM721" s="511"/>
      <c r="AN721" s="511"/>
      <c r="AO721" s="511"/>
      <c r="AP721" s="511"/>
      <c r="AQ721" s="511"/>
      <c r="AR721" s="511"/>
      <c r="AS721" s="511"/>
      <c r="AT721" s="511"/>
    </row>
    <row r="722" spans="1:46" s="510" customFormat="1" ht="24.95" customHeight="1" thickTop="1" x14ac:dyDescent="0.15">
      <c r="B722" s="963"/>
      <c r="C722" s="941" t="s">
        <v>1320</v>
      </c>
      <c r="D722" s="997" t="s">
        <v>1318</v>
      </c>
      <c r="E722" s="1622" t="s">
        <v>703</v>
      </c>
      <c r="F722" s="1623"/>
      <c r="G722" s="1623"/>
      <c r="H722" s="1623"/>
      <c r="I722" s="1623"/>
      <c r="J722" s="1623"/>
      <c r="K722" s="1624"/>
      <c r="L722" s="1625">
        <f t="shared" ca="1" si="26"/>
        <v>0</v>
      </c>
      <c r="M722" s="1626"/>
      <c r="N722" s="1627"/>
      <c r="O722" s="1552">
        <f ca="1">IF(ISERROR(VLOOKUP($E722,INDIRECT($Z$685&amp;"!$D$7:$G$175"),MATCH($Z$686,INDIRECT($Z$685&amp;"!$D$6:$Z$6"),0),0)),0,VLOOKUP($E722,INDIRECT($Z$685&amp;"!$D$7:$G$175"),MATCH($Z$686,INDIRECT($Z$685&amp;"!$D$6:$Z$6"),0),0))</f>
        <v>0</v>
      </c>
      <c r="P722" s="1553"/>
      <c r="Q722" s="1554"/>
      <c r="R722" s="1552">
        <f ca="1">IF(ISERROR(VLOOKUP($E722,INDIRECT($Z$685&amp;"!$D$7:$G$175"),MATCH($Z$687,INDIRECT($Z$685&amp;"!$D$6:$Z$6"),0),0)),0,VLOOKUP($E722,INDIRECT($Z$685&amp;"!$D$7:$G$175"),MATCH($Z$687,INDIRECT($Z$685&amp;"!$D$6:$Z$6"),0),0))</f>
        <v>0</v>
      </c>
      <c r="S722" s="1553"/>
      <c r="T722" s="1555"/>
      <c r="U722" s="869"/>
      <c r="V722" s="870"/>
      <c r="W722" s="520"/>
      <c r="X722" s="511"/>
      <c r="Y722" s="511"/>
      <c r="Z722" s="511"/>
      <c r="AA722" s="511"/>
      <c r="AB722" s="511"/>
      <c r="AC722" s="511"/>
      <c r="AD722" s="511"/>
      <c r="AE722" s="511"/>
      <c r="AF722" s="511"/>
      <c r="AG722" s="511"/>
      <c r="AH722" s="511"/>
      <c r="AI722" s="511"/>
      <c r="AJ722" s="511"/>
      <c r="AK722" s="511"/>
      <c r="AL722" s="511"/>
      <c r="AM722" s="511"/>
      <c r="AN722" s="511"/>
      <c r="AO722" s="511"/>
      <c r="AP722" s="511"/>
      <c r="AQ722" s="511"/>
      <c r="AR722" s="511"/>
      <c r="AS722" s="511"/>
      <c r="AT722" s="511"/>
    </row>
    <row r="723" spans="1:46" s="510" customFormat="1" ht="24.95" customHeight="1" thickBot="1" x14ac:dyDescent="0.2">
      <c r="B723" s="963"/>
      <c r="C723" s="911"/>
      <c r="D723" s="998"/>
      <c r="E723" s="1572" t="s">
        <v>1697</v>
      </c>
      <c r="F723" s="1573"/>
      <c r="G723" s="1573"/>
      <c r="H723" s="1573"/>
      <c r="I723" s="1573"/>
      <c r="J723" s="1573"/>
      <c r="K723" s="1574"/>
      <c r="L723" s="1575">
        <f t="shared" ca="1" si="26"/>
        <v>0</v>
      </c>
      <c r="M723" s="1576"/>
      <c r="N723" s="1577"/>
      <c r="O723" s="1578">
        <f ca="1">IF(ISERROR(VLOOKUP($E723,INDIRECT($Z$685&amp;"!$D$7:$G$175"),MATCH($Z$686,INDIRECT($Z$685&amp;"!$D$6:$Z$6"),0),0)),0,VLOOKUP($E723,INDIRECT($Z$685&amp;"!$D$7:$G$175"),MATCH($Z$686,INDIRECT($Z$685&amp;"!$D$6:$Z$6"),0),0))</f>
        <v>0</v>
      </c>
      <c r="P723" s="1579"/>
      <c r="Q723" s="1580"/>
      <c r="R723" s="1578">
        <f ca="1">IF(ISERROR(VLOOKUP($E723,INDIRECT($Z$685&amp;"!$D$7:$G$175"),MATCH($Z$687,INDIRECT($Z$685&amp;"!$D$6:$Z$6"),0),0)),0,VLOOKUP($E723,INDIRECT($Z$685&amp;"!$D$7:$G$175"),MATCH($Z$687,INDIRECT($Z$685&amp;"!$D$6:$Z$6"),0),0))</f>
        <v>0</v>
      </c>
      <c r="S723" s="1579"/>
      <c r="T723" s="1581"/>
      <c r="U723" s="869"/>
      <c r="V723" s="870"/>
      <c r="W723" s="520"/>
      <c r="X723" s="511"/>
      <c r="Y723" s="511"/>
      <c r="Z723" s="511"/>
      <c r="AA723" s="511"/>
      <c r="AB723" s="511"/>
      <c r="AC723" s="511"/>
      <c r="AD723" s="511"/>
      <c r="AE723" s="511"/>
      <c r="AF723" s="511"/>
      <c r="AG723" s="511"/>
      <c r="AH723" s="511"/>
      <c r="AI723" s="511"/>
      <c r="AJ723" s="511"/>
      <c r="AK723" s="511"/>
      <c r="AL723" s="511"/>
      <c r="AM723" s="511"/>
      <c r="AN723" s="511"/>
      <c r="AO723" s="511"/>
      <c r="AP723" s="511"/>
      <c r="AQ723" s="511"/>
      <c r="AR723" s="511"/>
      <c r="AS723" s="511"/>
      <c r="AT723" s="511"/>
    </row>
    <row r="724" spans="1:46" s="510" customFormat="1" ht="24.95" customHeight="1" thickTop="1" x14ac:dyDescent="0.15">
      <c r="B724" s="963"/>
      <c r="C724" s="911"/>
      <c r="D724" s="1562" t="s">
        <v>1319</v>
      </c>
      <c r="E724" s="1582" t="s">
        <v>705</v>
      </c>
      <c r="F724" s="1583"/>
      <c r="G724" s="1583"/>
      <c r="H724" s="1583"/>
      <c r="I724" s="1583"/>
      <c r="J724" s="1583"/>
      <c r="K724" s="1584"/>
      <c r="L724" s="1534">
        <f t="shared" ca="1" si="26"/>
        <v>0</v>
      </c>
      <c r="M724" s="1535"/>
      <c r="N724" s="1536"/>
      <c r="O724" s="1585">
        <f ca="1">IF(ISERROR(VLOOKUP($E724,INDIRECT($Z$685&amp;"!$D$7:$G$175"),MATCH($Z$686,INDIRECT($Z$685&amp;"!$D$6:$Z$6"),0),0)),0,VLOOKUP($E724,INDIRECT($Z$685&amp;"!$D$7:$G$175"),MATCH($Z$686,INDIRECT($Z$685&amp;"!$D$6:$Z$6"),0),0))</f>
        <v>0</v>
      </c>
      <c r="P724" s="1586"/>
      <c r="Q724" s="1587"/>
      <c r="R724" s="1585">
        <f ca="1">IF(ISERROR(VLOOKUP($E724,INDIRECT($Z$685&amp;"!$D$7:$G$175"),MATCH($Z$687,INDIRECT($Z$685&amp;"!$D$6:$Z$6"),0),0)),0,VLOOKUP($E724,INDIRECT($Z$685&amp;"!$D$7:$G$175"),MATCH($Z$687,INDIRECT($Z$685&amp;"!$D$6:$Z$6"),0),0))</f>
        <v>0</v>
      </c>
      <c r="S724" s="1586"/>
      <c r="T724" s="1588"/>
      <c r="U724" s="869"/>
      <c r="V724" s="870"/>
      <c r="W724" s="520"/>
      <c r="X724" s="511"/>
      <c r="Y724" s="511"/>
      <c r="Z724" s="511"/>
      <c r="AA724" s="511"/>
      <c r="AB724" s="511"/>
      <c r="AC724" s="511"/>
      <c r="AD724" s="511"/>
      <c r="AE724" s="511"/>
      <c r="AF724" s="511"/>
      <c r="AG724" s="511"/>
      <c r="AH724" s="511"/>
      <c r="AI724" s="511"/>
      <c r="AJ724" s="511"/>
      <c r="AK724" s="511"/>
      <c r="AL724" s="511"/>
      <c r="AM724" s="511"/>
      <c r="AN724" s="511"/>
      <c r="AO724" s="511"/>
      <c r="AP724" s="511"/>
      <c r="AQ724" s="511"/>
      <c r="AR724" s="511"/>
      <c r="AS724" s="511"/>
      <c r="AT724" s="511"/>
    </row>
    <row r="725" spans="1:46" s="510" customFormat="1" ht="24.95" customHeight="1" thickBot="1" x14ac:dyDescent="0.2">
      <c r="B725" s="963"/>
      <c r="C725" s="911"/>
      <c r="D725" s="998"/>
      <c r="E725" s="1572" t="s">
        <v>1698</v>
      </c>
      <c r="F725" s="1573"/>
      <c r="G725" s="1573"/>
      <c r="H725" s="1573"/>
      <c r="I725" s="1573"/>
      <c r="J725" s="1573"/>
      <c r="K725" s="1574"/>
      <c r="L725" s="1575">
        <f t="shared" ca="1" si="26"/>
        <v>0</v>
      </c>
      <c r="M725" s="1576"/>
      <c r="N725" s="1577"/>
      <c r="O725" s="1585">
        <f ca="1">IF(ISERROR(VLOOKUP($E725,INDIRECT($Z$685&amp;"!$D$7:$G$175"),MATCH($Z$686,INDIRECT($Z$685&amp;"!$D$6:$Z$6"),0),0)),0,VLOOKUP($E725,INDIRECT($Z$685&amp;"!$D$7:$G$175"),MATCH($Z$686,INDIRECT($Z$685&amp;"!$D$6:$Z$6"),0),0))</f>
        <v>0</v>
      </c>
      <c r="P725" s="1586"/>
      <c r="Q725" s="1587"/>
      <c r="R725" s="1585">
        <f ca="1">IF(ISERROR(VLOOKUP($E725,INDIRECT($Z$685&amp;"!$D$7:$G$175"),MATCH($Z$687,INDIRECT($Z$685&amp;"!$D$6:$Z$6"),0),0)),0,VLOOKUP($E725,INDIRECT($Z$685&amp;"!$D$7:$G$175"),MATCH($Z$687,INDIRECT($Z$685&amp;"!$D$6:$Z$6"),0),0))</f>
        <v>0</v>
      </c>
      <c r="S725" s="1586"/>
      <c r="T725" s="1588"/>
      <c r="U725" s="869"/>
      <c r="V725" s="870"/>
      <c r="W725" s="520"/>
      <c r="X725" s="511"/>
      <c r="Y725" s="511"/>
      <c r="Z725" s="511"/>
      <c r="AA725" s="511"/>
      <c r="AB725" s="511"/>
      <c r="AC725" s="511"/>
      <c r="AD725" s="511"/>
      <c r="AE725" s="511"/>
      <c r="AF725" s="511"/>
      <c r="AG725" s="511"/>
      <c r="AH725" s="511"/>
      <c r="AI725" s="511"/>
      <c r="AJ725" s="511"/>
      <c r="AK725" s="511"/>
      <c r="AL725" s="511"/>
      <c r="AM725" s="511"/>
      <c r="AN725" s="511"/>
      <c r="AO725" s="511"/>
      <c r="AP725" s="511"/>
      <c r="AQ725" s="511"/>
      <c r="AR725" s="511"/>
      <c r="AS725" s="511"/>
      <c r="AT725" s="511"/>
    </row>
    <row r="726" spans="1:46" s="510" customFormat="1" ht="24.95" customHeight="1" thickTop="1" thickBot="1" x14ac:dyDescent="0.2">
      <c r="B726" s="963"/>
      <c r="C726" s="942"/>
      <c r="D726" s="1618" t="s">
        <v>1699</v>
      </c>
      <c r="E726" s="1619"/>
      <c r="F726" s="1619"/>
      <c r="G726" s="1619"/>
      <c r="H726" s="1619"/>
      <c r="I726" s="1619"/>
      <c r="J726" s="1619"/>
      <c r="K726" s="1620"/>
      <c r="L726" s="1548">
        <f t="shared" ca="1" si="26"/>
        <v>0</v>
      </c>
      <c r="M726" s="1549"/>
      <c r="N726" s="1550"/>
      <c r="O726" s="634">
        <f ca="1">IF(ISERROR(VLOOKUP($D726,INDIRECT($Z$685&amp;"!$c$7:$G$175"),MATCH($Z$686,INDIRECT($Z$685&amp;"!$c$6:$Z$6"),0),0)),0,VLOOKUP($D726,INDIRECT($Z$685&amp;"!$c$7:$G$175"),MATCH($Z$686,INDIRECT($Z$685&amp;"!$c$6:$Z$6"),0),0))</f>
        <v>0</v>
      </c>
      <c r="P726" s="635"/>
      <c r="Q726" s="636"/>
      <c r="R726" s="634">
        <f ca="1">IF(ISERROR(VLOOKUP($D726,INDIRECT($Z$685&amp;"!$c$7:$G$175"),MATCH($Z$687,INDIRECT($Z$685&amp;"!$c$6:$Z$6"),0),0)),0,VLOOKUP($D726,INDIRECT($Z$685&amp;"!$c$7:$G$175"),MATCH($Z$687,INDIRECT($Z$685&amp;"!$c$6:$Z$6"),0),0))</f>
        <v>0</v>
      </c>
      <c r="S726" s="635"/>
      <c r="T726" s="1551"/>
      <c r="U726" s="869"/>
      <c r="V726" s="870"/>
      <c r="W726" s="520"/>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row>
    <row r="727" spans="1:46" s="510" customFormat="1" ht="24.95" customHeight="1" thickTop="1" thickBot="1" x14ac:dyDescent="0.2">
      <c r="B727" s="963"/>
      <c r="C727" s="1603" t="s">
        <v>1700</v>
      </c>
      <c r="D727" s="1604"/>
      <c r="E727" s="1604"/>
      <c r="F727" s="1604"/>
      <c r="G727" s="1604"/>
      <c r="H727" s="1604"/>
      <c r="I727" s="1604"/>
      <c r="J727" s="1604"/>
      <c r="K727" s="1605"/>
      <c r="L727" s="1606">
        <f t="shared" ca="1" si="26"/>
        <v>0</v>
      </c>
      <c r="M727" s="1607"/>
      <c r="N727" s="1608"/>
      <c r="O727" s="1609">
        <f ca="1">SUM(O721,O726)</f>
        <v>0</v>
      </c>
      <c r="P727" s="1610"/>
      <c r="Q727" s="1611"/>
      <c r="R727" s="1609">
        <f ca="1">SUM(R721,R726)</f>
        <v>0</v>
      </c>
      <c r="S727" s="1610"/>
      <c r="T727" s="1612"/>
      <c r="U727" s="1616"/>
      <c r="V727" s="1617"/>
      <c r="W727" s="520"/>
      <c r="X727" s="511"/>
      <c r="Y727" s="511"/>
      <c r="Z727" s="524"/>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row>
    <row r="728" spans="1:46" s="510" customFormat="1" ht="13.5" customHeight="1" x14ac:dyDescent="0.15">
      <c r="F728" s="514"/>
      <c r="G728" s="514"/>
      <c r="H728" s="514"/>
      <c r="I728" s="515"/>
      <c r="J728" s="515"/>
      <c r="K728" s="515"/>
      <c r="L728" s="514"/>
      <c r="M728" s="515"/>
      <c r="N728" s="515"/>
      <c r="O728" s="515"/>
      <c r="P728" s="514"/>
      <c r="Q728" s="516"/>
      <c r="R728" s="517"/>
      <c r="S728" s="517"/>
      <c r="T728" s="514"/>
      <c r="W728" s="511"/>
      <c r="X728" s="511"/>
      <c r="Y728" s="511"/>
      <c r="Z728" s="511"/>
      <c r="AA728" s="511"/>
      <c r="AB728" s="511"/>
      <c r="AC728" s="511"/>
      <c r="AD728" s="511"/>
      <c r="AE728" s="511"/>
      <c r="AF728" s="511"/>
      <c r="AG728" s="511"/>
      <c r="AH728" s="511"/>
      <c r="AI728" s="511"/>
      <c r="AJ728" s="511"/>
      <c r="AK728" s="511"/>
      <c r="AL728" s="511"/>
      <c r="AM728" s="511"/>
      <c r="AN728" s="511"/>
      <c r="AO728" s="511"/>
      <c r="AP728" s="511"/>
      <c r="AQ728" s="511"/>
      <c r="AR728" s="511"/>
      <c r="AS728" s="511"/>
      <c r="AT728" s="511"/>
    </row>
    <row r="729" spans="1:46" s="510" customFormat="1" ht="27" customHeight="1" x14ac:dyDescent="0.15">
      <c r="A729" s="960" t="s">
        <v>1802</v>
      </c>
      <c r="B729" s="960"/>
      <c r="C729" s="960"/>
      <c r="D729" s="960"/>
      <c r="E729" s="960"/>
      <c r="F729" s="960"/>
      <c r="G729" s="960"/>
      <c r="H729" s="960"/>
      <c r="I729" s="960"/>
      <c r="W729" s="511" t="s">
        <v>1956</v>
      </c>
      <c r="X729" s="511"/>
      <c r="Y729" s="511"/>
      <c r="Z729" s="511"/>
      <c r="AA729" s="511"/>
      <c r="AB729" s="511"/>
      <c r="AC729" s="511"/>
      <c r="AD729" s="511"/>
      <c r="AE729" s="511"/>
      <c r="AF729" s="511"/>
      <c r="AG729" s="511"/>
      <c r="AH729" s="511"/>
      <c r="AI729" s="511"/>
      <c r="AJ729" s="511"/>
      <c r="AK729" s="511"/>
      <c r="AL729" s="511"/>
      <c r="AM729" s="511"/>
      <c r="AN729" s="511"/>
      <c r="AO729" s="511"/>
      <c r="AP729" s="511"/>
      <c r="AQ729" s="511"/>
      <c r="AR729" s="511"/>
      <c r="AS729" s="511"/>
      <c r="AT729" s="511"/>
    </row>
    <row r="730" spans="1:46" s="510" customFormat="1" ht="13.5" customHeight="1" x14ac:dyDescent="0.15">
      <c r="A730" s="512" t="s">
        <v>1701</v>
      </c>
      <c r="B730" s="962" t="s">
        <v>1702</v>
      </c>
      <c r="C730" s="962"/>
      <c r="D730" s="962"/>
      <c r="E730" s="962"/>
      <c r="F730" s="962"/>
      <c r="G730" s="962"/>
      <c r="H730" s="962"/>
      <c r="I730" s="962"/>
      <c r="J730" s="962"/>
      <c r="K730" s="962"/>
      <c r="L730" s="962"/>
      <c r="M730" s="962"/>
      <c r="N730" s="962"/>
      <c r="O730" s="962"/>
      <c r="P730" s="962"/>
      <c r="Q730" s="962"/>
      <c r="R730" s="962"/>
      <c r="S730" s="962"/>
      <c r="T730" s="962"/>
      <c r="U730" s="962"/>
      <c r="V730" s="962"/>
      <c r="W730" s="511"/>
      <c r="X730" s="511"/>
      <c r="Y730" s="511"/>
      <c r="Z730" s="511"/>
      <c r="AA730" s="511"/>
      <c r="AB730" s="511"/>
      <c r="AC730" s="511"/>
      <c r="AD730" s="511"/>
      <c r="AE730" s="511"/>
      <c r="AF730" s="511"/>
      <c r="AG730" s="511"/>
      <c r="AH730" s="511"/>
      <c r="AI730" s="511"/>
      <c r="AJ730" s="511"/>
      <c r="AK730" s="511"/>
      <c r="AL730" s="511"/>
      <c r="AM730" s="511"/>
      <c r="AN730" s="511"/>
      <c r="AO730" s="511"/>
      <c r="AP730" s="511"/>
      <c r="AQ730" s="511"/>
      <c r="AR730" s="511"/>
      <c r="AS730" s="511"/>
      <c r="AT730" s="511"/>
    </row>
    <row r="731" spans="1:46" s="510" customFormat="1" ht="13.5" customHeight="1" x14ac:dyDescent="0.15">
      <c r="A731" s="513" t="s">
        <v>72</v>
      </c>
      <c r="B731" s="670" t="s">
        <v>1864</v>
      </c>
      <c r="C731" s="670"/>
      <c r="D731" s="670"/>
      <c r="E731" s="670"/>
      <c r="F731" s="670"/>
      <c r="G731" s="670"/>
      <c r="H731" s="670"/>
      <c r="I731" s="670"/>
      <c r="J731" s="670"/>
      <c r="K731" s="670"/>
      <c r="L731" s="670"/>
      <c r="M731" s="670"/>
      <c r="N731" s="670"/>
      <c r="O731" s="670"/>
      <c r="P731" s="670"/>
      <c r="Q731" s="670"/>
      <c r="R731" s="670"/>
      <c r="S731" s="670"/>
      <c r="T731" s="670"/>
      <c r="U731" s="670"/>
      <c r="V731" s="670"/>
      <c r="W731" s="511"/>
      <c r="X731" s="511"/>
      <c r="Y731" s="511"/>
      <c r="Z731" s="511"/>
      <c r="AA731" s="511"/>
      <c r="AB731" s="511"/>
      <c r="AC731" s="511"/>
      <c r="AD731" s="511"/>
      <c r="AE731" s="511"/>
      <c r="AF731" s="511"/>
      <c r="AG731" s="511"/>
      <c r="AH731" s="511"/>
      <c r="AI731" s="511"/>
      <c r="AJ731" s="511"/>
      <c r="AK731" s="511"/>
      <c r="AL731" s="511"/>
      <c r="AM731" s="511"/>
      <c r="AN731" s="511"/>
      <c r="AO731" s="511"/>
      <c r="AP731" s="511"/>
      <c r="AQ731" s="511"/>
      <c r="AR731" s="511"/>
      <c r="AS731" s="511"/>
      <c r="AT731" s="511"/>
    </row>
    <row r="732" spans="1:46" s="510" customFormat="1" ht="27" customHeight="1" x14ac:dyDescent="0.15">
      <c r="B732" s="1613" t="str">
        <f ca="1">IF(L734+L742=L760+L762+L767,"","入力した左右の金額のバランスがあっていません。入力した数値を再度確認してください。")</f>
        <v/>
      </c>
      <c r="C732" s="1613"/>
      <c r="D732" s="1613"/>
      <c r="E732" s="1613"/>
      <c r="F732" s="1613"/>
      <c r="G732" s="1613"/>
      <c r="H732" s="1613"/>
      <c r="I732" s="1613"/>
      <c r="J732" s="1613"/>
      <c r="K732" s="1613"/>
      <c r="L732" s="1613"/>
      <c r="M732" s="1613"/>
      <c r="N732" s="1613"/>
      <c r="O732" s="1613"/>
      <c r="P732" s="1613"/>
      <c r="Q732" s="1613"/>
      <c r="R732" s="1613"/>
      <c r="S732" s="1613"/>
      <c r="T732" s="1613"/>
      <c r="W732" s="511"/>
      <c r="X732" s="511"/>
      <c r="Y732" s="511"/>
      <c r="Z732" s="511"/>
      <c r="AA732" s="511"/>
      <c r="AB732" s="511"/>
      <c r="AC732" s="511"/>
      <c r="AD732" s="511"/>
      <c r="AE732" s="511"/>
      <c r="AF732" s="511"/>
      <c r="AG732" s="511"/>
      <c r="AH732" s="511"/>
      <c r="AI732" s="511"/>
      <c r="AJ732" s="511"/>
      <c r="AK732" s="511"/>
      <c r="AL732" s="511"/>
      <c r="AM732" s="511"/>
      <c r="AN732" s="511"/>
      <c r="AO732" s="511"/>
      <c r="AP732" s="511"/>
      <c r="AQ732" s="511"/>
      <c r="AR732" s="511"/>
      <c r="AS732" s="511"/>
      <c r="AT732" s="511"/>
    </row>
    <row r="733" spans="1:46" s="510" customFormat="1" ht="22.15" customHeight="1" x14ac:dyDescent="0.15">
      <c r="B733" s="1614" t="s">
        <v>540</v>
      </c>
      <c r="C733" s="978" t="s">
        <v>541</v>
      </c>
      <c r="D733" s="979"/>
      <c r="E733" s="979"/>
      <c r="F733" s="979"/>
      <c r="G733" s="979"/>
      <c r="H733" s="979"/>
      <c r="I733" s="979"/>
      <c r="J733" s="979"/>
      <c r="K733" s="1615"/>
      <c r="L733" s="1621" t="s">
        <v>1703</v>
      </c>
      <c r="M733" s="1621"/>
      <c r="N733" s="1621"/>
      <c r="O733" s="1621"/>
      <c r="P733" s="1621"/>
      <c r="Q733" s="1621"/>
      <c r="R733" s="1621"/>
      <c r="S733" s="1621"/>
      <c r="T733" s="1621"/>
      <c r="U733" s="525"/>
      <c r="V733" s="525"/>
      <c r="W733" s="526"/>
      <c r="X733" s="511"/>
      <c r="Y733" s="511"/>
      <c r="Z733" s="511" t="s">
        <v>1867</v>
      </c>
      <c r="AA733" s="511" t="s">
        <v>1869</v>
      </c>
      <c r="AB733" s="511" t="s">
        <v>1868</v>
      </c>
      <c r="AC733" s="511" t="s">
        <v>1870</v>
      </c>
      <c r="AD733" s="511"/>
      <c r="AE733" s="511"/>
      <c r="AF733" s="511"/>
      <c r="AG733" s="511"/>
      <c r="AH733" s="511"/>
      <c r="AI733" s="511"/>
      <c r="AJ733" s="511"/>
      <c r="AK733" s="511"/>
      <c r="AL733" s="511"/>
      <c r="AM733" s="511"/>
      <c r="AN733" s="511"/>
      <c r="AO733" s="511"/>
      <c r="AP733" s="511"/>
      <c r="AQ733" s="511"/>
      <c r="AR733" s="511"/>
      <c r="AS733" s="511"/>
      <c r="AT733" s="511"/>
    </row>
    <row r="734" spans="1:46" s="510" customFormat="1" ht="22.15" customHeight="1" x14ac:dyDescent="0.15">
      <c r="B734" s="1614"/>
      <c r="C734" s="935" t="s">
        <v>1704</v>
      </c>
      <c r="D734" s="935"/>
      <c r="E734" s="935"/>
      <c r="F734" s="935"/>
      <c r="G734" s="935"/>
      <c r="H734" s="935"/>
      <c r="I734" s="935"/>
      <c r="J734" s="935"/>
      <c r="K734" s="935"/>
      <c r="L734" s="900">
        <f t="shared" ref="L734:L741" ca="1" si="31">IF(ISERROR(VLOOKUP($C734,INDIRECT("'"&amp;$Z$733&amp;$AA$733&amp;$AB$733&amp;$AC$733&amp;"'"&amp;"!$B$7:$e33"),MATCH($Z$734,INDIRECT("'"&amp;$Z$733&amp;$AA$733&amp;$AB$733&amp;$AC$733&amp;"'"&amp;"!$B$6:$E$6"),0),0)),0,VLOOKUP($C734,INDIRECT("'"&amp;$Z$733&amp;$AA$733&amp;$AB$733&amp;$AC$733&amp;"'"&amp;"!$B$7:$E$62"),MATCH($Z$734,INDIRECT("'"&amp;$Z$733&amp;$AA$733&amp;$AB$733&amp;$AC$733&amp;"'"&amp;"!$B$6:$E$6"),0),0))</f>
        <v>0</v>
      </c>
      <c r="M734" s="900"/>
      <c r="N734" s="900"/>
      <c r="O734" s="900"/>
      <c r="P734" s="900"/>
      <c r="Q734" s="900"/>
      <c r="R734" s="900"/>
      <c r="S734" s="900"/>
      <c r="T734" s="900"/>
      <c r="U734" s="525"/>
      <c r="V734" s="525"/>
      <c r="W734" s="526"/>
      <c r="X734" s="511"/>
      <c r="Y734" s="511"/>
      <c r="Z734" s="511" t="s">
        <v>1866</v>
      </c>
      <c r="AA734" s="511"/>
      <c r="AB734" s="511"/>
      <c r="AC734" s="511"/>
      <c r="AD734" s="511"/>
      <c r="AE734" s="511"/>
      <c r="AF734" s="511"/>
      <c r="AG734" s="511"/>
      <c r="AH734" s="511"/>
      <c r="AI734" s="511"/>
      <c r="AJ734" s="511"/>
      <c r="AK734" s="511"/>
      <c r="AL734" s="511"/>
      <c r="AM734" s="511"/>
      <c r="AN734" s="511"/>
      <c r="AO734" s="511"/>
      <c r="AP734" s="511"/>
      <c r="AQ734" s="511"/>
      <c r="AR734" s="511"/>
      <c r="AS734" s="511"/>
      <c r="AT734" s="511"/>
    </row>
    <row r="735" spans="1:46" s="510" customFormat="1" ht="22.15" customHeight="1" x14ac:dyDescent="0.15">
      <c r="B735" s="1614"/>
      <c r="C735" s="898" t="s">
        <v>1705</v>
      </c>
      <c r="D735" s="898"/>
      <c r="E735" s="898"/>
      <c r="F735" s="898"/>
      <c r="G735" s="898"/>
      <c r="H735" s="898"/>
      <c r="I735" s="898"/>
      <c r="J735" s="898"/>
      <c r="K735" s="898"/>
      <c r="L735" s="899">
        <f t="shared" ca="1" si="31"/>
        <v>0</v>
      </c>
      <c r="M735" s="899"/>
      <c r="N735" s="899"/>
      <c r="O735" s="899"/>
      <c r="P735" s="899"/>
      <c r="Q735" s="899"/>
      <c r="R735" s="899"/>
      <c r="S735" s="899"/>
      <c r="T735" s="899"/>
      <c r="U735" s="525"/>
      <c r="V735" s="525"/>
      <c r="W735" s="526"/>
      <c r="X735" s="511"/>
      <c r="Y735" s="511"/>
      <c r="Z735" s="511"/>
      <c r="AA735" s="511"/>
      <c r="AB735" s="511"/>
      <c r="AC735" s="511"/>
      <c r="AD735" s="511"/>
      <c r="AE735" s="511"/>
      <c r="AF735" s="511"/>
      <c r="AG735" s="511"/>
      <c r="AH735" s="511"/>
      <c r="AI735" s="511"/>
      <c r="AJ735" s="511"/>
      <c r="AK735" s="511"/>
      <c r="AL735" s="511"/>
      <c r="AM735" s="511"/>
      <c r="AN735" s="511"/>
      <c r="AO735" s="511"/>
      <c r="AP735" s="511"/>
      <c r="AQ735" s="511"/>
      <c r="AR735" s="511"/>
      <c r="AS735" s="511"/>
      <c r="AT735" s="511"/>
    </row>
    <row r="736" spans="1:46" s="510" customFormat="1" ht="22.15" customHeight="1" x14ac:dyDescent="0.15">
      <c r="B736" s="1614"/>
      <c r="C736" s="575" t="s">
        <v>1706</v>
      </c>
      <c r="D736" s="575"/>
      <c r="E736" s="575"/>
      <c r="F736" s="575"/>
      <c r="G736" s="575"/>
      <c r="H736" s="575"/>
      <c r="I736" s="575"/>
      <c r="J736" s="575"/>
      <c r="K736" s="575"/>
      <c r="L736" s="574">
        <f t="shared" ca="1" si="31"/>
        <v>0</v>
      </c>
      <c r="M736" s="574"/>
      <c r="N736" s="574"/>
      <c r="O736" s="574"/>
      <c r="P736" s="574"/>
      <c r="Q736" s="574"/>
      <c r="R736" s="574"/>
      <c r="S736" s="574"/>
      <c r="T736" s="574"/>
      <c r="U736" s="525"/>
      <c r="V736" s="525"/>
      <c r="W736" s="526"/>
      <c r="X736" s="511"/>
      <c r="Y736" s="511"/>
      <c r="Z736" s="511"/>
      <c r="AA736" s="511"/>
      <c r="AB736" s="511"/>
      <c r="AC736" s="511"/>
      <c r="AD736" s="511"/>
      <c r="AE736" s="511"/>
      <c r="AF736" s="511"/>
      <c r="AG736" s="511"/>
      <c r="AH736" s="511"/>
      <c r="AI736" s="511"/>
      <c r="AJ736" s="511"/>
      <c r="AK736" s="511"/>
      <c r="AL736" s="511"/>
      <c r="AM736" s="511"/>
      <c r="AN736" s="511"/>
      <c r="AO736" s="511"/>
      <c r="AP736" s="511"/>
      <c r="AQ736" s="511"/>
      <c r="AR736" s="511"/>
      <c r="AS736" s="511"/>
      <c r="AT736" s="511"/>
    </row>
    <row r="737" spans="2:46" s="510" customFormat="1" ht="22.15" customHeight="1" x14ac:dyDescent="0.15">
      <c r="B737" s="1614"/>
      <c r="C737" s="575" t="s">
        <v>1939</v>
      </c>
      <c r="D737" s="575"/>
      <c r="E737" s="575"/>
      <c r="F737" s="575"/>
      <c r="G737" s="575"/>
      <c r="H737" s="575"/>
      <c r="I737" s="575"/>
      <c r="J737" s="575"/>
      <c r="K737" s="575"/>
      <c r="L737" s="574">
        <f t="shared" ca="1" si="31"/>
        <v>0</v>
      </c>
      <c r="M737" s="574"/>
      <c r="N737" s="574"/>
      <c r="O737" s="574"/>
      <c r="P737" s="574"/>
      <c r="Q737" s="574"/>
      <c r="R737" s="574"/>
      <c r="S737" s="574"/>
      <c r="T737" s="574"/>
      <c r="U737" s="525"/>
      <c r="V737" s="525"/>
      <c r="W737" s="526"/>
      <c r="X737" s="511"/>
      <c r="Y737" s="511"/>
      <c r="Z737" s="511"/>
      <c r="AA737" s="511"/>
      <c r="AB737" s="511"/>
      <c r="AC737" s="511"/>
      <c r="AD737" s="511"/>
      <c r="AE737" s="511"/>
      <c r="AF737" s="511"/>
      <c r="AG737" s="511"/>
      <c r="AH737" s="511"/>
      <c r="AI737" s="511"/>
      <c r="AJ737" s="511"/>
      <c r="AK737" s="511"/>
      <c r="AL737" s="511"/>
      <c r="AM737" s="511"/>
      <c r="AN737" s="511"/>
      <c r="AO737" s="511"/>
      <c r="AP737" s="511"/>
      <c r="AQ737" s="511"/>
      <c r="AR737" s="511"/>
      <c r="AS737" s="511"/>
      <c r="AT737" s="511"/>
    </row>
    <row r="738" spans="2:46" s="510" customFormat="1" ht="22.15" customHeight="1" x14ac:dyDescent="0.15">
      <c r="B738" s="1614"/>
      <c r="C738" s="575" t="s">
        <v>1707</v>
      </c>
      <c r="D738" s="575"/>
      <c r="E738" s="575"/>
      <c r="F738" s="575"/>
      <c r="G738" s="575"/>
      <c r="H738" s="575"/>
      <c r="I738" s="575"/>
      <c r="J738" s="575"/>
      <c r="K738" s="575"/>
      <c r="L738" s="574">
        <f t="shared" ca="1" si="31"/>
        <v>0</v>
      </c>
      <c r="M738" s="574"/>
      <c r="N738" s="574"/>
      <c r="O738" s="574"/>
      <c r="P738" s="574"/>
      <c r="Q738" s="574"/>
      <c r="R738" s="574"/>
      <c r="S738" s="574"/>
      <c r="T738" s="574"/>
      <c r="U738" s="525"/>
      <c r="V738" s="525"/>
      <c r="W738" s="526"/>
      <c r="X738" s="511"/>
      <c r="Y738" s="511"/>
      <c r="Z738" s="511"/>
      <c r="AA738" s="511"/>
      <c r="AB738" s="511"/>
      <c r="AC738" s="511"/>
      <c r="AD738" s="511"/>
      <c r="AE738" s="511"/>
      <c r="AF738" s="511"/>
      <c r="AG738" s="511"/>
      <c r="AH738" s="511"/>
      <c r="AI738" s="511"/>
      <c r="AJ738" s="511"/>
      <c r="AK738" s="511"/>
      <c r="AL738" s="511"/>
      <c r="AM738" s="511"/>
      <c r="AN738" s="511"/>
      <c r="AO738" s="511"/>
      <c r="AP738" s="511"/>
      <c r="AQ738" s="511"/>
      <c r="AR738" s="511"/>
      <c r="AS738" s="511"/>
      <c r="AT738" s="511"/>
    </row>
    <row r="739" spans="2:46" s="510" customFormat="1" ht="22.15" customHeight="1" x14ac:dyDescent="0.15">
      <c r="B739" s="1614"/>
      <c r="C739" s="575" t="s">
        <v>1708</v>
      </c>
      <c r="D739" s="575"/>
      <c r="E739" s="575"/>
      <c r="F739" s="575"/>
      <c r="G739" s="575"/>
      <c r="H739" s="575"/>
      <c r="I739" s="575"/>
      <c r="J739" s="575"/>
      <c r="K739" s="575"/>
      <c r="L739" s="574">
        <f t="shared" ca="1" si="31"/>
        <v>0</v>
      </c>
      <c r="M739" s="574"/>
      <c r="N739" s="574"/>
      <c r="O739" s="574"/>
      <c r="P739" s="574"/>
      <c r="Q739" s="574"/>
      <c r="R739" s="574"/>
      <c r="S739" s="574"/>
      <c r="T739" s="574"/>
      <c r="U739" s="525"/>
      <c r="V739" s="525"/>
      <c r="W739" s="526"/>
      <c r="X739" s="511"/>
      <c r="Y739" s="511"/>
      <c r="Z739" s="511"/>
      <c r="AA739" s="511"/>
      <c r="AB739" s="511"/>
      <c r="AC739" s="511"/>
      <c r="AD739" s="511"/>
      <c r="AE739" s="511"/>
      <c r="AF739" s="511"/>
      <c r="AG739" s="511"/>
      <c r="AH739" s="511"/>
      <c r="AI739" s="511"/>
      <c r="AJ739" s="511"/>
      <c r="AK739" s="511"/>
      <c r="AL739" s="511"/>
      <c r="AM739" s="511"/>
      <c r="AN739" s="511"/>
      <c r="AO739" s="511"/>
      <c r="AP739" s="511"/>
      <c r="AQ739" s="511"/>
      <c r="AR739" s="511"/>
      <c r="AS739" s="511"/>
      <c r="AT739" s="511"/>
    </row>
    <row r="740" spans="2:46" s="510" customFormat="1" ht="22.15" customHeight="1" x14ac:dyDescent="0.15">
      <c r="B740" s="1614"/>
      <c r="C740" s="575" t="s">
        <v>1709</v>
      </c>
      <c r="D740" s="575"/>
      <c r="E740" s="575"/>
      <c r="F740" s="575"/>
      <c r="G740" s="575"/>
      <c r="H740" s="575"/>
      <c r="I740" s="575"/>
      <c r="J740" s="575"/>
      <c r="K740" s="575"/>
      <c r="L740" s="574">
        <f t="shared" ca="1" si="31"/>
        <v>0</v>
      </c>
      <c r="M740" s="574"/>
      <c r="N740" s="574"/>
      <c r="O740" s="574"/>
      <c r="P740" s="574"/>
      <c r="Q740" s="574"/>
      <c r="R740" s="574"/>
      <c r="S740" s="574"/>
      <c r="T740" s="574"/>
      <c r="U740" s="525"/>
      <c r="V740" s="525"/>
      <c r="W740" s="526"/>
      <c r="X740" s="511"/>
      <c r="Y740" s="511"/>
      <c r="Z740" s="511"/>
      <c r="AA740" s="511"/>
      <c r="AB740" s="511"/>
      <c r="AC740" s="511"/>
      <c r="AD740" s="511"/>
      <c r="AE740" s="511"/>
      <c r="AF740" s="511"/>
      <c r="AG740" s="511"/>
      <c r="AH740" s="511"/>
      <c r="AI740" s="511"/>
      <c r="AJ740" s="511"/>
      <c r="AK740" s="511"/>
      <c r="AL740" s="511"/>
      <c r="AM740" s="511"/>
      <c r="AN740" s="511"/>
      <c r="AO740" s="511"/>
      <c r="AP740" s="511"/>
      <c r="AQ740" s="511"/>
      <c r="AR740" s="511"/>
      <c r="AS740" s="511"/>
      <c r="AT740" s="511"/>
    </row>
    <row r="741" spans="2:46" s="510" customFormat="1" ht="22.15" customHeight="1" x14ac:dyDescent="0.15">
      <c r="B741" s="1614"/>
      <c r="C741" s="1589" t="s">
        <v>1710</v>
      </c>
      <c r="D741" s="1589"/>
      <c r="E741" s="1589"/>
      <c r="F741" s="1589"/>
      <c r="G741" s="1589"/>
      <c r="H741" s="1589"/>
      <c r="I741" s="1589"/>
      <c r="J741" s="1589"/>
      <c r="K741" s="1589"/>
      <c r="L741" s="961">
        <f t="shared" ca="1" si="31"/>
        <v>0</v>
      </c>
      <c r="M741" s="961"/>
      <c r="N741" s="961"/>
      <c r="O741" s="961"/>
      <c r="P741" s="961"/>
      <c r="Q741" s="961"/>
      <c r="R741" s="961"/>
      <c r="S741" s="961"/>
      <c r="T741" s="961"/>
      <c r="U741" s="525"/>
      <c r="V741" s="525"/>
      <c r="W741" s="526"/>
      <c r="X741" s="511"/>
      <c r="Y741" s="511"/>
      <c r="Z741" s="511"/>
      <c r="AA741" s="511"/>
      <c r="AB741" s="511"/>
      <c r="AC741" s="511"/>
      <c r="AD741" s="511"/>
      <c r="AE741" s="511"/>
      <c r="AF741" s="511"/>
      <c r="AG741" s="511"/>
      <c r="AH741" s="511"/>
      <c r="AI741" s="511"/>
      <c r="AJ741" s="511"/>
      <c r="AK741" s="511"/>
      <c r="AL741" s="511"/>
      <c r="AM741" s="511"/>
      <c r="AN741" s="511"/>
      <c r="AO741" s="511"/>
      <c r="AP741" s="511"/>
      <c r="AQ741" s="511"/>
      <c r="AR741" s="511"/>
      <c r="AS741" s="511"/>
      <c r="AT741" s="511"/>
    </row>
    <row r="742" spans="2:46" s="510" customFormat="1" ht="22.15" customHeight="1" x14ac:dyDescent="0.15">
      <c r="B742" s="1614"/>
      <c r="C742" s="935" t="s">
        <v>1711</v>
      </c>
      <c r="D742" s="935"/>
      <c r="E742" s="935"/>
      <c r="F742" s="935"/>
      <c r="G742" s="935"/>
      <c r="H742" s="935"/>
      <c r="I742" s="935"/>
      <c r="J742" s="935"/>
      <c r="K742" s="935"/>
      <c r="L742" s="900">
        <f ca="1">IF(ISERROR(VLOOKUP($C742,INDIRECT("'"&amp;$Z$733&amp;$AA$733&amp;$AB$733&amp;$AC$733&amp;"'"&amp;"!$b$33:$E62"),MATCH($Z$734,INDIRECT("'"&amp;$Z$733&amp;$AA$733&amp;$AB$733&amp;$AC$733&amp;"'"&amp;"!$B$6:$E$6"),0),0)),0,VLOOKUP($C742,INDIRECT("'"&amp;$Z$733&amp;$AA$733&amp;$AB$733&amp;$AC$733&amp;"'"&amp;"!$b$33:$E$62"),MATCH($Z$734,INDIRECT("'"&amp;$Z$733&amp;$AA$733&amp;$AB$733&amp;$AC$733&amp;"'"&amp;"!$B$6:$E$6"),0),0))</f>
        <v>0</v>
      </c>
      <c r="M742" s="900"/>
      <c r="N742" s="900"/>
      <c r="O742" s="900"/>
      <c r="P742" s="900"/>
      <c r="Q742" s="900"/>
      <c r="R742" s="900"/>
      <c r="S742" s="900"/>
      <c r="T742" s="900"/>
      <c r="U742" s="525"/>
      <c r="V742" s="525"/>
      <c r="W742" s="526"/>
      <c r="X742" s="511"/>
      <c r="Y742" s="511"/>
      <c r="Z742" s="511"/>
      <c r="AA742" s="511"/>
      <c r="AB742" s="511"/>
      <c r="AC742" s="511"/>
      <c r="AD742" s="511"/>
      <c r="AE742" s="511"/>
      <c r="AF742" s="511"/>
      <c r="AG742" s="511"/>
      <c r="AH742" s="511"/>
      <c r="AI742" s="511"/>
      <c r="AJ742" s="511"/>
      <c r="AK742" s="511"/>
      <c r="AL742" s="511"/>
      <c r="AM742" s="511"/>
      <c r="AN742" s="511"/>
      <c r="AO742" s="511"/>
      <c r="AP742" s="511"/>
      <c r="AQ742" s="511"/>
      <c r="AR742" s="511"/>
      <c r="AS742" s="511"/>
      <c r="AT742" s="511"/>
    </row>
    <row r="743" spans="2:46" s="510" customFormat="1" ht="22.15" customHeight="1" x14ac:dyDescent="0.15">
      <c r="B743" s="1614"/>
      <c r="C743" s="898" t="s">
        <v>1712</v>
      </c>
      <c r="D743" s="898"/>
      <c r="E743" s="898"/>
      <c r="F743" s="898"/>
      <c r="G743" s="898"/>
      <c r="H743" s="898"/>
      <c r="I743" s="898"/>
      <c r="J743" s="898"/>
      <c r="K743" s="898"/>
      <c r="L743" s="899">
        <f ca="1">IF(ISERROR(VLOOKUP($C743,INDIRECT("'"&amp;$Z$733&amp;$AA$733&amp;$AB$733&amp;$AC$733&amp;"'"&amp;"!$b$33:$e39"),MATCH($Z$734,INDIRECT("'"&amp;$Z$733&amp;$AA$733&amp;$AB$733&amp;$AC$733&amp;"'"&amp;"!$B$6:$E$6"),0),0)),0,VLOOKUP($C743,INDIRECT("'"&amp;$Z$733&amp;$AA$733&amp;$AB$733&amp;$AC$733&amp;"'"&amp;"!$b$33:$E$62"),MATCH($Z$734,INDIRECT("'"&amp;$Z$733&amp;$AA$733&amp;$AB$733&amp;$AC$733&amp;"'"&amp;"!$B$6:$E$6"),0),0))</f>
        <v>0</v>
      </c>
      <c r="M743" s="899"/>
      <c r="N743" s="899"/>
      <c r="O743" s="899"/>
      <c r="P743" s="899"/>
      <c r="Q743" s="899"/>
      <c r="R743" s="899"/>
      <c r="S743" s="899"/>
      <c r="T743" s="899"/>
      <c r="U743" s="525"/>
      <c r="V743" s="525"/>
      <c r="W743" s="526"/>
      <c r="X743" s="511"/>
      <c r="Y743" s="511"/>
      <c r="Z743" s="511"/>
      <c r="AA743" s="511"/>
      <c r="AB743" s="511"/>
      <c r="AC743" s="511"/>
      <c r="AD743" s="511"/>
      <c r="AE743" s="511"/>
      <c r="AF743" s="511"/>
      <c r="AG743" s="511"/>
      <c r="AH743" s="511"/>
      <c r="AI743" s="511"/>
      <c r="AJ743" s="511"/>
      <c r="AK743" s="511"/>
      <c r="AL743" s="511"/>
      <c r="AM743" s="511"/>
      <c r="AN743" s="511"/>
      <c r="AO743" s="511"/>
      <c r="AP743" s="511"/>
      <c r="AQ743" s="511"/>
      <c r="AR743" s="511"/>
      <c r="AS743" s="511"/>
      <c r="AT743" s="511"/>
    </row>
    <row r="744" spans="2:46" s="510" customFormat="1" ht="22.15" customHeight="1" x14ac:dyDescent="0.15">
      <c r="B744" s="1614"/>
      <c r="C744" s="1591" t="s">
        <v>1931</v>
      </c>
      <c r="D744" s="1592"/>
      <c r="E744" s="1592"/>
      <c r="F744" s="1592"/>
      <c r="G744" s="1592"/>
      <c r="H744" s="1592"/>
      <c r="I744" s="1592"/>
      <c r="J744" s="1592"/>
      <c r="K744" s="1593"/>
      <c r="L744" s="574">
        <f ca="1">IF(ISERROR(VLOOKUP($C744,INDIRECT("'"&amp;$Z$733&amp;$AA$733&amp;$AB$733&amp;$AC$733&amp;"'"&amp;"!$b$33:$e39"),MATCH($Z$734,INDIRECT("'"&amp;$Z$733&amp;$AA$733&amp;$AB$733&amp;$AC$733&amp;"'"&amp;"!$B$6:$E$6"),0),0)),0,VLOOKUP($C744,INDIRECT("'"&amp;$Z$733&amp;$AA$733&amp;$AB$733&amp;$AC$733&amp;"'"&amp;"!$b$33:$E$62"),MATCH($Z$734,INDIRECT("'"&amp;$Z$733&amp;$AA$733&amp;$AB$733&amp;$AC$733&amp;"'"&amp;"!$B$6:$E$6"),0),0))</f>
        <v>0</v>
      </c>
      <c r="M744" s="574"/>
      <c r="N744" s="574"/>
      <c r="O744" s="574"/>
      <c r="P744" s="574"/>
      <c r="Q744" s="574"/>
      <c r="R744" s="574"/>
      <c r="S744" s="574"/>
      <c r="T744" s="574"/>
      <c r="U744" s="525"/>
      <c r="V744" s="525"/>
      <c r="W744" s="526"/>
      <c r="X744" s="511"/>
      <c r="Y744" s="511"/>
      <c r="Z744" s="511"/>
      <c r="AA744" s="511"/>
      <c r="AB744" s="511"/>
      <c r="AC744" s="511"/>
      <c r="AD744" s="511"/>
      <c r="AE744" s="511"/>
      <c r="AF744" s="511"/>
      <c r="AG744" s="511"/>
      <c r="AH744" s="511"/>
      <c r="AI744" s="511"/>
      <c r="AJ744" s="511"/>
      <c r="AK744" s="511"/>
      <c r="AL744" s="511"/>
      <c r="AM744" s="511"/>
      <c r="AN744" s="511"/>
      <c r="AO744" s="511"/>
      <c r="AP744" s="511"/>
      <c r="AQ744" s="511"/>
      <c r="AR744" s="511"/>
      <c r="AS744" s="511"/>
      <c r="AT744" s="511"/>
    </row>
    <row r="745" spans="2:46" s="510" customFormat="1" ht="22.15" customHeight="1" x14ac:dyDescent="0.15">
      <c r="B745" s="1614"/>
      <c r="C745" s="1591" t="s">
        <v>1932</v>
      </c>
      <c r="D745" s="1592"/>
      <c r="E745" s="1592"/>
      <c r="F745" s="1592"/>
      <c r="G745" s="1592"/>
      <c r="H745" s="1592"/>
      <c r="I745" s="1592"/>
      <c r="J745" s="1592"/>
      <c r="K745" s="1593"/>
      <c r="L745" s="574">
        <f ca="1">IF(ISERROR(VLOOKUP($C745,INDIRECT("'"&amp;$Z$733&amp;$AA$733&amp;$AB$733&amp;$AC$733&amp;"'"&amp;"!$b$33:$e39"),MATCH($Z$734,INDIRECT("'"&amp;$Z$733&amp;$AA$733&amp;$AB$733&amp;$AC$733&amp;"'"&amp;"!$B$6:$E$6"),0),0)),0,VLOOKUP($C745,INDIRECT("'"&amp;$Z$733&amp;$AA$733&amp;$AB$733&amp;$AC$733&amp;"'"&amp;"!$b$33:$E$62"),MATCH($Z$734,INDIRECT("'"&amp;$Z$733&amp;$AA$733&amp;$AB$733&amp;$AC$733&amp;"'"&amp;"!$B$6:$E$6"),0),0))</f>
        <v>0</v>
      </c>
      <c r="M745" s="574"/>
      <c r="N745" s="574"/>
      <c r="O745" s="574"/>
      <c r="P745" s="574"/>
      <c r="Q745" s="574"/>
      <c r="R745" s="574"/>
      <c r="S745" s="574"/>
      <c r="T745" s="574"/>
      <c r="U745" s="525"/>
      <c r="V745" s="525"/>
      <c r="W745" s="526"/>
      <c r="X745" s="511"/>
      <c r="Y745" s="511"/>
      <c r="Z745" s="511"/>
      <c r="AA745" s="511"/>
      <c r="AB745" s="511"/>
      <c r="AC745" s="511"/>
      <c r="AD745" s="511"/>
      <c r="AE745" s="511"/>
      <c r="AF745" s="511"/>
      <c r="AG745" s="511"/>
      <c r="AH745" s="511"/>
      <c r="AI745" s="511"/>
      <c r="AJ745" s="511"/>
      <c r="AK745" s="511"/>
      <c r="AL745" s="511"/>
      <c r="AM745" s="511"/>
      <c r="AN745" s="511"/>
      <c r="AO745" s="511"/>
      <c r="AP745" s="511"/>
      <c r="AQ745" s="511"/>
      <c r="AR745" s="511"/>
      <c r="AS745" s="511"/>
      <c r="AT745" s="511"/>
    </row>
    <row r="746" spans="2:46" s="510" customFormat="1" ht="22.15" customHeight="1" x14ac:dyDescent="0.15">
      <c r="B746" s="1614"/>
      <c r="C746" s="1591" t="s">
        <v>1933</v>
      </c>
      <c r="D746" s="1592"/>
      <c r="E746" s="1592"/>
      <c r="F746" s="1592"/>
      <c r="G746" s="1592"/>
      <c r="H746" s="1592"/>
      <c r="I746" s="1592"/>
      <c r="J746" s="1592"/>
      <c r="K746" s="1593"/>
      <c r="L746" s="574">
        <f ca="1">IF(ISERROR(VLOOKUP($C746,INDIRECT("'"&amp;$Z$733&amp;$AA$733&amp;$AB$733&amp;$AC$733&amp;"'"&amp;"!$b$33:$e39"),MATCH($Z$734,INDIRECT("'"&amp;$Z$733&amp;$AA$733&amp;$AB$733&amp;$AC$733&amp;"'"&amp;"!$B$6:$E$6"),0),0)),0,VLOOKUP($C746,INDIRECT("'"&amp;$Z$733&amp;$AA$733&amp;$AB$733&amp;$AC$733&amp;"'"&amp;"!$b$33:$E$62"),MATCH($Z$734,INDIRECT("'"&amp;$Z$733&amp;$AA$733&amp;$AB$733&amp;$AC$733&amp;"'"&amp;"!$B$6:$E$6"),0),0))</f>
        <v>0</v>
      </c>
      <c r="M746" s="574"/>
      <c r="N746" s="574"/>
      <c r="O746" s="574"/>
      <c r="P746" s="574"/>
      <c r="Q746" s="574"/>
      <c r="R746" s="574"/>
      <c r="S746" s="574"/>
      <c r="T746" s="574"/>
      <c r="U746" s="525"/>
      <c r="V746" s="525"/>
      <c r="W746" s="526"/>
      <c r="X746" s="511"/>
      <c r="Y746" s="511"/>
      <c r="Z746" s="511"/>
      <c r="AA746" s="511"/>
      <c r="AB746" s="511"/>
      <c r="AC746" s="511"/>
      <c r="AD746" s="511"/>
      <c r="AE746" s="511"/>
      <c r="AF746" s="511"/>
      <c r="AG746" s="511"/>
      <c r="AH746" s="511"/>
      <c r="AI746" s="511"/>
      <c r="AJ746" s="511"/>
      <c r="AK746" s="511"/>
      <c r="AL746" s="511"/>
      <c r="AM746" s="511"/>
      <c r="AN746" s="511"/>
      <c r="AO746" s="511"/>
      <c r="AP746" s="511"/>
      <c r="AQ746" s="511"/>
      <c r="AR746" s="511"/>
      <c r="AS746" s="511"/>
      <c r="AT746" s="511"/>
    </row>
    <row r="747" spans="2:46" s="510" customFormat="1" ht="22.15" customHeight="1" x14ac:dyDescent="0.15">
      <c r="B747" s="1614"/>
      <c r="C747" s="1591" t="s">
        <v>1934</v>
      </c>
      <c r="D747" s="1592"/>
      <c r="E747" s="1592"/>
      <c r="F747" s="1592"/>
      <c r="G747" s="1592"/>
      <c r="H747" s="1592"/>
      <c r="I747" s="1592"/>
      <c r="J747" s="1592"/>
      <c r="K747" s="1593"/>
      <c r="L747" s="574">
        <f ca="1">IF(ISERROR(VLOOKUP($C747,INDIRECT("'"&amp;$Z$733&amp;$AA$733&amp;$AB$733&amp;$AC$733&amp;"'"&amp;"!$b$33:$e39"),MATCH($Z$734,INDIRECT("'"&amp;$Z$733&amp;$AA$733&amp;$AB$733&amp;$AC$733&amp;"'"&amp;"!$B$6:$E$6"),0),0)),0,VLOOKUP($C747,INDIRECT("'"&amp;$Z$733&amp;$AA$733&amp;$AB$733&amp;$AC$733&amp;"'"&amp;"!$b$33:$E$62"),MATCH($Z$734,INDIRECT("'"&amp;$Z$733&amp;$AA$733&amp;$AB$733&amp;$AC$733&amp;"'"&amp;"!$B$6:$E$6"),0),0))</f>
        <v>0</v>
      </c>
      <c r="M747" s="574"/>
      <c r="N747" s="574"/>
      <c r="O747" s="574"/>
      <c r="P747" s="574"/>
      <c r="Q747" s="574"/>
      <c r="R747" s="574"/>
      <c r="S747" s="574"/>
      <c r="T747" s="574"/>
      <c r="U747" s="525"/>
      <c r="V747" s="525"/>
      <c r="W747" s="526"/>
      <c r="X747" s="511"/>
      <c r="Y747" s="511"/>
      <c r="Z747" s="511"/>
      <c r="AA747" s="511"/>
      <c r="AB747" s="511"/>
      <c r="AC747" s="511"/>
      <c r="AD747" s="511"/>
      <c r="AE747" s="511"/>
      <c r="AF747" s="511"/>
      <c r="AG747" s="511"/>
      <c r="AH747" s="511"/>
      <c r="AI747" s="511"/>
      <c r="AJ747" s="511"/>
      <c r="AK747" s="511"/>
      <c r="AL747" s="511"/>
      <c r="AM747" s="511"/>
      <c r="AN747" s="511"/>
      <c r="AO747" s="511"/>
      <c r="AP747" s="511"/>
      <c r="AQ747" s="511"/>
      <c r="AR747" s="511"/>
      <c r="AS747" s="511"/>
      <c r="AT747" s="511"/>
    </row>
    <row r="748" spans="2:46" s="510" customFormat="1" ht="22.15" customHeight="1" x14ac:dyDescent="0.15">
      <c r="B748" s="1614"/>
      <c r="C748" s="575" t="s">
        <v>1713</v>
      </c>
      <c r="D748" s="575"/>
      <c r="E748" s="575"/>
      <c r="F748" s="575"/>
      <c r="G748" s="575"/>
      <c r="H748" s="575"/>
      <c r="I748" s="575"/>
      <c r="J748" s="575"/>
      <c r="K748" s="575"/>
      <c r="L748" s="574">
        <f t="shared" ref="L748:L758" ca="1" si="32">IF(ISERROR(VLOOKUP($C748,INDIRECT("'"&amp;$Z$733&amp;$AA$733&amp;$AB$733&amp;$AC$733&amp;"'"&amp;"!$b$40:$E62"),MATCH($Z$734,INDIRECT("'"&amp;$Z$733&amp;$AA$733&amp;$AB$733&amp;$AC$733&amp;"'"&amp;"!$B$6:$E$6"),0),0)),0,VLOOKUP($C748,INDIRECT("'"&amp;$Z$733&amp;$AA$733&amp;$AB$733&amp;$AC$733&amp;"'"&amp;"!$b$40:$E$62"),MATCH($Z$734,INDIRECT("'"&amp;$Z$733&amp;$AA$733&amp;$AB$733&amp;$AC$733&amp;"'"&amp;"!$B$6:$E$6"),0),0))</f>
        <v>0</v>
      </c>
      <c r="M748" s="574"/>
      <c r="N748" s="574"/>
      <c r="O748" s="574"/>
      <c r="P748" s="574"/>
      <c r="Q748" s="574"/>
      <c r="R748" s="574"/>
      <c r="S748" s="574"/>
      <c r="T748" s="574"/>
      <c r="U748" s="525"/>
      <c r="V748" s="525"/>
      <c r="W748" s="526"/>
      <c r="X748" s="511"/>
      <c r="Y748" s="511"/>
      <c r="Z748" s="511"/>
      <c r="AA748" s="511"/>
      <c r="AB748" s="511"/>
      <c r="AC748" s="511"/>
      <c r="AD748" s="511"/>
      <c r="AE748" s="511"/>
      <c r="AF748" s="511"/>
      <c r="AG748" s="511"/>
      <c r="AH748" s="511"/>
      <c r="AI748" s="511"/>
      <c r="AJ748" s="511"/>
      <c r="AK748" s="511"/>
      <c r="AL748" s="511"/>
      <c r="AM748" s="511"/>
      <c r="AN748" s="511"/>
      <c r="AO748" s="511"/>
      <c r="AP748" s="511"/>
      <c r="AQ748" s="511"/>
      <c r="AR748" s="511"/>
      <c r="AS748" s="511"/>
      <c r="AT748" s="511"/>
    </row>
    <row r="749" spans="2:46" s="510" customFormat="1" ht="22.15" customHeight="1" x14ac:dyDescent="0.15">
      <c r="B749" s="1614"/>
      <c r="C749" s="575" t="s">
        <v>1941</v>
      </c>
      <c r="D749" s="575"/>
      <c r="E749" s="575"/>
      <c r="F749" s="575"/>
      <c r="G749" s="575"/>
      <c r="H749" s="575"/>
      <c r="I749" s="575"/>
      <c r="J749" s="575"/>
      <c r="K749" s="575"/>
      <c r="L749" s="574">
        <f t="shared" ca="1" si="32"/>
        <v>0</v>
      </c>
      <c r="M749" s="574"/>
      <c r="N749" s="574"/>
      <c r="O749" s="574"/>
      <c r="P749" s="574"/>
      <c r="Q749" s="574"/>
      <c r="R749" s="574"/>
      <c r="S749" s="574"/>
      <c r="T749" s="574"/>
      <c r="U749" s="525"/>
      <c r="V749" s="525"/>
      <c r="W749" s="526"/>
      <c r="X749" s="511"/>
      <c r="Y749" s="511"/>
      <c r="Z749" s="511"/>
      <c r="AA749" s="511"/>
      <c r="AB749" s="511"/>
      <c r="AC749" s="511"/>
      <c r="AD749" s="511"/>
      <c r="AE749" s="511"/>
      <c r="AF749" s="511"/>
      <c r="AG749" s="511"/>
      <c r="AH749" s="511"/>
      <c r="AI749" s="511"/>
      <c r="AJ749" s="511"/>
      <c r="AK749" s="511"/>
      <c r="AL749" s="511"/>
      <c r="AM749" s="511"/>
      <c r="AN749" s="511"/>
      <c r="AO749" s="511"/>
      <c r="AP749" s="511"/>
      <c r="AQ749" s="511"/>
      <c r="AR749" s="511"/>
      <c r="AS749" s="511"/>
      <c r="AT749" s="511"/>
    </row>
    <row r="750" spans="2:46" s="510" customFormat="1" ht="22.15" customHeight="1" x14ac:dyDescent="0.15">
      <c r="B750" s="1614"/>
      <c r="C750" s="575" t="s">
        <v>1942</v>
      </c>
      <c r="D750" s="575"/>
      <c r="E750" s="575"/>
      <c r="F750" s="575"/>
      <c r="G750" s="575"/>
      <c r="H750" s="575"/>
      <c r="I750" s="575"/>
      <c r="J750" s="575"/>
      <c r="K750" s="575"/>
      <c r="L750" s="574">
        <f t="shared" ca="1" si="32"/>
        <v>0</v>
      </c>
      <c r="M750" s="574"/>
      <c r="N750" s="574"/>
      <c r="O750" s="574"/>
      <c r="P750" s="574"/>
      <c r="Q750" s="574"/>
      <c r="R750" s="574"/>
      <c r="S750" s="574"/>
      <c r="T750" s="574"/>
      <c r="U750" s="525"/>
      <c r="V750" s="525"/>
      <c r="W750" s="526"/>
      <c r="X750" s="511"/>
      <c r="Y750" s="511"/>
      <c r="Z750" s="511"/>
      <c r="AA750" s="511"/>
      <c r="AB750" s="511"/>
      <c r="AC750" s="511"/>
      <c r="AD750" s="511"/>
      <c r="AE750" s="511"/>
      <c r="AF750" s="511"/>
      <c r="AG750" s="511"/>
      <c r="AH750" s="511"/>
      <c r="AI750" s="511"/>
      <c r="AJ750" s="511"/>
      <c r="AK750" s="511"/>
      <c r="AL750" s="511"/>
      <c r="AM750" s="511"/>
      <c r="AN750" s="511"/>
      <c r="AO750" s="511"/>
      <c r="AP750" s="511"/>
      <c r="AQ750" s="511"/>
      <c r="AR750" s="511"/>
      <c r="AS750" s="511"/>
      <c r="AT750" s="511"/>
    </row>
    <row r="751" spans="2:46" s="510" customFormat="1" ht="22.15" customHeight="1" x14ac:dyDescent="0.15">
      <c r="B751" s="1614"/>
      <c r="C751" s="575" t="s">
        <v>1943</v>
      </c>
      <c r="D751" s="575"/>
      <c r="E751" s="575"/>
      <c r="F751" s="575"/>
      <c r="G751" s="575"/>
      <c r="H751" s="575"/>
      <c r="I751" s="575"/>
      <c r="J751" s="575"/>
      <c r="K751" s="575"/>
      <c r="L751" s="574">
        <f t="shared" ca="1" si="32"/>
        <v>0</v>
      </c>
      <c r="M751" s="574"/>
      <c r="N751" s="574"/>
      <c r="O751" s="574"/>
      <c r="P751" s="574"/>
      <c r="Q751" s="574"/>
      <c r="R751" s="574"/>
      <c r="S751" s="574"/>
      <c r="T751" s="574"/>
      <c r="U751" s="525"/>
      <c r="V751" s="525"/>
      <c r="W751" s="526"/>
      <c r="X751" s="511"/>
      <c r="Y751" s="511"/>
      <c r="Z751" s="511"/>
      <c r="AA751" s="511"/>
      <c r="AB751" s="511"/>
      <c r="AC751" s="511"/>
      <c r="AD751" s="511"/>
      <c r="AE751" s="511"/>
      <c r="AF751" s="511"/>
      <c r="AG751" s="511"/>
      <c r="AH751" s="511"/>
      <c r="AI751" s="511"/>
      <c r="AJ751" s="511"/>
      <c r="AK751" s="511"/>
      <c r="AL751" s="511"/>
      <c r="AM751" s="511"/>
      <c r="AN751" s="511"/>
      <c r="AO751" s="511"/>
      <c r="AP751" s="511"/>
      <c r="AQ751" s="511"/>
      <c r="AR751" s="511"/>
      <c r="AS751" s="511"/>
      <c r="AT751" s="511"/>
    </row>
    <row r="752" spans="2:46" s="510" customFormat="1" ht="22.15" customHeight="1" x14ac:dyDescent="0.15">
      <c r="B752" s="1614"/>
      <c r="C752" s="575" t="s">
        <v>1944</v>
      </c>
      <c r="D752" s="575"/>
      <c r="E752" s="575"/>
      <c r="F752" s="575"/>
      <c r="G752" s="575"/>
      <c r="H752" s="575"/>
      <c r="I752" s="575"/>
      <c r="J752" s="575"/>
      <c r="K752" s="575"/>
      <c r="L752" s="574">
        <f t="shared" ca="1" si="32"/>
        <v>0</v>
      </c>
      <c r="M752" s="574"/>
      <c r="N752" s="574"/>
      <c r="O752" s="574"/>
      <c r="P752" s="574"/>
      <c r="Q752" s="574"/>
      <c r="R752" s="574"/>
      <c r="S752" s="574"/>
      <c r="T752" s="574"/>
      <c r="U752" s="525"/>
      <c r="V752" s="525"/>
      <c r="W752" s="526"/>
      <c r="X752" s="511"/>
      <c r="Y752" s="511"/>
      <c r="Z752" s="511"/>
      <c r="AA752" s="511"/>
      <c r="AB752" s="511"/>
      <c r="AC752" s="511"/>
      <c r="AD752" s="511"/>
      <c r="AE752" s="511"/>
      <c r="AF752" s="511"/>
      <c r="AG752" s="511"/>
      <c r="AH752" s="511"/>
      <c r="AI752" s="511"/>
      <c r="AJ752" s="511"/>
      <c r="AK752" s="511"/>
      <c r="AL752" s="511"/>
      <c r="AM752" s="511"/>
      <c r="AN752" s="511"/>
      <c r="AO752" s="511"/>
      <c r="AP752" s="511"/>
      <c r="AQ752" s="511"/>
      <c r="AR752" s="511"/>
      <c r="AS752" s="511"/>
      <c r="AT752" s="511"/>
    </row>
    <row r="753" spans="2:46" s="510" customFormat="1" ht="22.15" customHeight="1" x14ac:dyDescent="0.15">
      <c r="B753" s="1614"/>
      <c r="C753" s="575" t="s">
        <v>1945</v>
      </c>
      <c r="D753" s="575"/>
      <c r="E753" s="575"/>
      <c r="F753" s="575"/>
      <c r="G753" s="575"/>
      <c r="H753" s="575"/>
      <c r="I753" s="575"/>
      <c r="J753" s="575"/>
      <c r="K753" s="575"/>
      <c r="L753" s="574">
        <f t="shared" ca="1" si="32"/>
        <v>0</v>
      </c>
      <c r="M753" s="574"/>
      <c r="N753" s="574"/>
      <c r="O753" s="574"/>
      <c r="P753" s="574"/>
      <c r="Q753" s="574"/>
      <c r="R753" s="574"/>
      <c r="S753" s="574"/>
      <c r="T753" s="574"/>
      <c r="U753" s="525"/>
      <c r="V753" s="525"/>
      <c r="W753" s="526"/>
      <c r="X753" s="511"/>
      <c r="Y753" s="511"/>
      <c r="Z753" s="511"/>
      <c r="AA753" s="511"/>
      <c r="AB753" s="511"/>
      <c r="AC753" s="511"/>
      <c r="AD753" s="511"/>
      <c r="AE753" s="511"/>
      <c r="AF753" s="511"/>
      <c r="AG753" s="511"/>
      <c r="AH753" s="511"/>
      <c r="AI753" s="511"/>
      <c r="AJ753" s="511"/>
      <c r="AK753" s="511"/>
      <c r="AL753" s="511"/>
      <c r="AM753" s="511"/>
      <c r="AN753" s="511"/>
      <c r="AO753" s="511"/>
      <c r="AP753" s="511"/>
      <c r="AQ753" s="511"/>
      <c r="AR753" s="511"/>
      <c r="AS753" s="511"/>
      <c r="AT753" s="511"/>
    </row>
    <row r="754" spans="2:46" s="510" customFormat="1" ht="22.15" customHeight="1" x14ac:dyDescent="0.15">
      <c r="B754" s="1614"/>
      <c r="C754" s="575" t="s">
        <v>1946</v>
      </c>
      <c r="D754" s="575"/>
      <c r="E754" s="575"/>
      <c r="F754" s="575"/>
      <c r="G754" s="575"/>
      <c r="H754" s="575"/>
      <c r="I754" s="575"/>
      <c r="J754" s="575"/>
      <c r="K754" s="575"/>
      <c r="L754" s="574">
        <f t="shared" ca="1" si="32"/>
        <v>0</v>
      </c>
      <c r="M754" s="574"/>
      <c r="N754" s="574"/>
      <c r="O754" s="574"/>
      <c r="P754" s="574"/>
      <c r="Q754" s="574"/>
      <c r="R754" s="574"/>
      <c r="S754" s="574"/>
      <c r="T754" s="574"/>
      <c r="U754" s="525"/>
      <c r="V754" s="525"/>
      <c r="W754" s="526"/>
      <c r="X754" s="511"/>
      <c r="Y754" s="511"/>
      <c r="Z754" s="511"/>
      <c r="AA754" s="511"/>
      <c r="AB754" s="511"/>
      <c r="AC754" s="511"/>
      <c r="AD754" s="511"/>
      <c r="AE754" s="511"/>
      <c r="AF754" s="511"/>
      <c r="AG754" s="511"/>
      <c r="AH754" s="511"/>
      <c r="AI754" s="511"/>
      <c r="AJ754" s="511"/>
      <c r="AK754" s="511"/>
      <c r="AL754" s="511"/>
      <c r="AM754" s="511"/>
      <c r="AN754" s="511"/>
      <c r="AO754" s="511"/>
      <c r="AP754" s="511"/>
      <c r="AQ754" s="511"/>
      <c r="AR754" s="511"/>
      <c r="AS754" s="511"/>
      <c r="AT754" s="511"/>
    </row>
    <row r="755" spans="2:46" s="510" customFormat="1" ht="22.15" customHeight="1" x14ac:dyDescent="0.15">
      <c r="B755" s="1614"/>
      <c r="C755" s="575" t="s">
        <v>1950</v>
      </c>
      <c r="D755" s="575"/>
      <c r="E755" s="575"/>
      <c r="F755" s="575"/>
      <c r="G755" s="575"/>
      <c r="H755" s="575"/>
      <c r="I755" s="575"/>
      <c r="J755" s="575"/>
      <c r="K755" s="575"/>
      <c r="L755" s="574">
        <f t="shared" ca="1" si="32"/>
        <v>0</v>
      </c>
      <c r="M755" s="574"/>
      <c r="N755" s="574"/>
      <c r="O755" s="574"/>
      <c r="P755" s="574"/>
      <c r="Q755" s="574"/>
      <c r="R755" s="574"/>
      <c r="S755" s="574"/>
      <c r="T755" s="574"/>
      <c r="U755" s="525"/>
      <c r="V755" s="525"/>
      <c r="W755" s="526"/>
      <c r="X755" s="511"/>
      <c r="Y755" s="511"/>
      <c r="Z755" s="511"/>
      <c r="AA755" s="511"/>
      <c r="AB755" s="511"/>
      <c r="AC755" s="511"/>
      <c r="AD755" s="511"/>
      <c r="AE755" s="511"/>
      <c r="AF755" s="511"/>
      <c r="AG755" s="511"/>
      <c r="AH755" s="511"/>
      <c r="AI755" s="511"/>
      <c r="AJ755" s="511"/>
      <c r="AK755" s="511"/>
      <c r="AL755" s="511"/>
      <c r="AM755" s="511"/>
      <c r="AN755" s="511"/>
      <c r="AO755" s="511"/>
      <c r="AP755" s="511"/>
      <c r="AQ755" s="511"/>
      <c r="AR755" s="511"/>
      <c r="AS755" s="511"/>
      <c r="AT755" s="511"/>
    </row>
    <row r="756" spans="2:46" s="510" customFormat="1" ht="22.15" customHeight="1" x14ac:dyDescent="0.15">
      <c r="B756" s="1614"/>
      <c r="C756" s="575" t="s">
        <v>1949</v>
      </c>
      <c r="D756" s="575"/>
      <c r="E756" s="575"/>
      <c r="F756" s="575"/>
      <c r="G756" s="575"/>
      <c r="H756" s="575"/>
      <c r="I756" s="575"/>
      <c r="J756" s="575"/>
      <c r="K756" s="575"/>
      <c r="L756" s="576">
        <f t="shared" ca="1" si="32"/>
        <v>0</v>
      </c>
      <c r="M756" s="576"/>
      <c r="N756" s="576"/>
      <c r="O756" s="576"/>
      <c r="P756" s="576"/>
      <c r="Q756" s="576"/>
      <c r="R756" s="576"/>
      <c r="S756" s="576"/>
      <c r="T756" s="576"/>
      <c r="U756" s="525"/>
      <c r="V756" s="525"/>
      <c r="W756" s="526"/>
      <c r="X756" s="511"/>
      <c r="Y756" s="511"/>
      <c r="Z756" s="511"/>
      <c r="AA756" s="511"/>
      <c r="AB756" s="511"/>
      <c r="AC756" s="511"/>
      <c r="AD756" s="511"/>
      <c r="AE756" s="511"/>
      <c r="AF756" s="511"/>
      <c r="AG756" s="511"/>
      <c r="AH756" s="511"/>
      <c r="AI756" s="511"/>
      <c r="AJ756" s="511"/>
      <c r="AK756" s="511"/>
      <c r="AL756" s="511"/>
      <c r="AM756" s="511"/>
      <c r="AN756" s="511"/>
      <c r="AO756" s="511"/>
      <c r="AP756" s="511"/>
      <c r="AQ756" s="511"/>
      <c r="AR756" s="511"/>
      <c r="AS756" s="511"/>
      <c r="AT756" s="511"/>
    </row>
    <row r="757" spans="2:46" s="510" customFormat="1" ht="22.15" customHeight="1" x14ac:dyDescent="0.15">
      <c r="B757" s="1614"/>
      <c r="C757" s="575" t="s">
        <v>1947</v>
      </c>
      <c r="D757" s="575"/>
      <c r="E757" s="575"/>
      <c r="F757" s="575"/>
      <c r="G757" s="575"/>
      <c r="H757" s="575"/>
      <c r="I757" s="575"/>
      <c r="J757" s="575"/>
      <c r="K757" s="575"/>
      <c r="L757" s="574">
        <f t="shared" ca="1" si="32"/>
        <v>0</v>
      </c>
      <c r="M757" s="574"/>
      <c r="N757" s="574"/>
      <c r="O757" s="574"/>
      <c r="P757" s="574"/>
      <c r="Q757" s="574"/>
      <c r="R757" s="574"/>
      <c r="S757" s="574"/>
      <c r="T757" s="574"/>
      <c r="U757" s="525"/>
      <c r="V757" s="525"/>
      <c r="W757" s="526"/>
      <c r="X757" s="511"/>
      <c r="Y757" s="511"/>
      <c r="Z757" s="511"/>
      <c r="AA757" s="511"/>
      <c r="AB757" s="511"/>
      <c r="AC757" s="511"/>
      <c r="AD757" s="511"/>
      <c r="AE757" s="511"/>
      <c r="AF757" s="511"/>
      <c r="AG757" s="511"/>
      <c r="AH757" s="511"/>
      <c r="AI757" s="511"/>
      <c r="AJ757" s="511"/>
      <c r="AK757" s="511"/>
      <c r="AL757" s="511"/>
      <c r="AM757" s="511"/>
      <c r="AN757" s="511"/>
      <c r="AO757" s="511"/>
      <c r="AP757" s="511"/>
      <c r="AQ757" s="511"/>
      <c r="AR757" s="511"/>
      <c r="AS757" s="511"/>
      <c r="AT757" s="511"/>
    </row>
    <row r="758" spans="2:46" s="510" customFormat="1" ht="22.15" customHeight="1" thickBot="1" x14ac:dyDescent="0.2">
      <c r="B758" s="1614"/>
      <c r="C758" s="575" t="s">
        <v>1948</v>
      </c>
      <c r="D758" s="575"/>
      <c r="E758" s="575"/>
      <c r="F758" s="575"/>
      <c r="G758" s="575"/>
      <c r="H758" s="575"/>
      <c r="I758" s="575"/>
      <c r="J758" s="575"/>
      <c r="K758" s="575"/>
      <c r="L758" s="576">
        <f t="shared" ca="1" si="32"/>
        <v>0</v>
      </c>
      <c r="M758" s="576"/>
      <c r="N758" s="576"/>
      <c r="O758" s="576"/>
      <c r="P758" s="576"/>
      <c r="Q758" s="576"/>
      <c r="R758" s="576"/>
      <c r="S758" s="576"/>
      <c r="T758" s="576"/>
      <c r="U758" s="525"/>
      <c r="V758" s="525"/>
      <c r="W758" s="526"/>
      <c r="X758" s="511"/>
      <c r="Y758" s="511"/>
      <c r="Z758" s="511"/>
      <c r="AA758" s="511"/>
      <c r="AB758" s="511"/>
      <c r="AC758" s="511"/>
      <c r="AD758" s="511"/>
      <c r="AE758" s="511"/>
      <c r="AF758" s="511"/>
      <c r="AG758" s="511"/>
      <c r="AH758" s="511"/>
      <c r="AI758" s="511"/>
      <c r="AJ758" s="511"/>
      <c r="AK758" s="511"/>
      <c r="AL758" s="511"/>
      <c r="AM758" s="511"/>
      <c r="AN758" s="511"/>
      <c r="AO758" s="511"/>
      <c r="AP758" s="511"/>
      <c r="AQ758" s="511"/>
      <c r="AR758" s="511"/>
      <c r="AS758" s="511"/>
      <c r="AT758" s="511"/>
    </row>
    <row r="759" spans="2:46" s="510" customFormat="1" ht="22.15" customHeight="1" thickTop="1" thickBot="1" x14ac:dyDescent="0.2">
      <c r="B759" s="1614"/>
      <c r="C759" s="903" t="s">
        <v>1747</v>
      </c>
      <c r="D759" s="904"/>
      <c r="E759" s="904"/>
      <c r="F759" s="904"/>
      <c r="G759" s="904"/>
      <c r="H759" s="904"/>
      <c r="I759" s="904"/>
      <c r="J759" s="904"/>
      <c r="K759" s="905"/>
      <c r="L759" s="906">
        <f ca="1">IF(ISERROR(VLOOKUP($C759,INDIRECT("'"&amp;$Z$733&amp;$AA$733&amp;$AB$733&amp;$AC$733&amp;"'"&amp;"!$b$33:$E62"),MATCH($Z$734,INDIRECT("'"&amp;$Z$733&amp;$AA$733&amp;$AB$733&amp;$AC$733&amp;"'"&amp;"!$B$6:$E$6"),0),0)),0,VLOOKUP($C759,INDIRECT("'"&amp;$Z$733&amp;$AA$733&amp;$AB$733&amp;$AC$733&amp;"'"&amp;"!$b$33:$E$62"),MATCH($Z$734,INDIRECT("'"&amp;$Z$733&amp;$AA$733&amp;$AB$733&amp;$AC$733&amp;"'"&amp;"!$B$6:$E$6"),0),0))</f>
        <v>0</v>
      </c>
      <c r="M759" s="906"/>
      <c r="N759" s="906"/>
      <c r="O759" s="906"/>
      <c r="P759" s="906"/>
      <c r="Q759" s="906"/>
      <c r="R759" s="906"/>
      <c r="S759" s="906"/>
      <c r="T759" s="906"/>
      <c r="U759" s="525"/>
      <c r="V759" s="525"/>
      <c r="W759" s="527"/>
      <c r="X759" s="511"/>
      <c r="Y759" s="511"/>
      <c r="Z759" s="511"/>
      <c r="AA759" s="511"/>
      <c r="AB759" s="511"/>
      <c r="AC759" s="511"/>
      <c r="AD759" s="511"/>
      <c r="AE759" s="511"/>
      <c r="AF759" s="511"/>
      <c r="AG759" s="511"/>
      <c r="AH759" s="511"/>
      <c r="AI759" s="511"/>
      <c r="AJ759" s="511"/>
      <c r="AK759" s="511"/>
      <c r="AL759" s="511"/>
      <c r="AM759" s="511"/>
      <c r="AN759" s="511"/>
      <c r="AO759" s="511"/>
      <c r="AP759" s="511"/>
      <c r="AQ759" s="511"/>
      <c r="AR759" s="511"/>
      <c r="AS759" s="511"/>
      <c r="AT759" s="511"/>
    </row>
    <row r="760" spans="2:46" s="510" customFormat="1" ht="22.15" customHeight="1" thickTop="1" x14ac:dyDescent="0.15">
      <c r="B760" s="1614"/>
      <c r="C760" s="902" t="s">
        <v>1714</v>
      </c>
      <c r="D760" s="902"/>
      <c r="E760" s="902"/>
      <c r="F760" s="902"/>
      <c r="G760" s="902"/>
      <c r="H760" s="902"/>
      <c r="I760" s="902"/>
      <c r="J760" s="902"/>
      <c r="K760" s="902"/>
      <c r="L760" s="897">
        <f t="shared" ref="L760:L772" ca="1" si="33">IF(ISERROR(VLOOKUP($C760,INDIRECT("'"&amp;$Z$733&amp;$AA$733&amp;$AB$733&amp;$AC$733&amp;"'"&amp;"!$f$7:$i$62"),MATCH($Z$734,INDIRECT("'"&amp;$Z$733&amp;$AA$733&amp;$AB$733&amp;$AC$733&amp;"'"&amp;"!$f$6:$i$6"),0),0)),0,VLOOKUP($C760,INDIRECT("'"&amp;$Z$733&amp;$AA$733&amp;$AB$733&amp;$AC$733&amp;"'"&amp;"!$f$7:$i$62"),MATCH($Z$734,INDIRECT("'"&amp;$Z$733&amp;$AA$733&amp;$AB$733&amp;$AC$733&amp;"'"&amp;"!$f$6:$i$6"),0),0))</f>
        <v>0</v>
      </c>
      <c r="M760" s="897"/>
      <c r="N760" s="897"/>
      <c r="O760" s="897"/>
      <c r="P760" s="897"/>
      <c r="Q760" s="897"/>
      <c r="R760" s="897"/>
      <c r="S760" s="897"/>
      <c r="T760" s="897"/>
      <c r="U760" s="525"/>
      <c r="V760" s="525"/>
      <c r="W760" s="526"/>
      <c r="X760" s="511"/>
      <c r="Y760" s="511"/>
      <c r="Z760" s="511"/>
      <c r="AA760" s="511"/>
      <c r="AB760" s="511"/>
      <c r="AC760" s="511"/>
      <c r="AD760" s="511"/>
      <c r="AE760" s="511"/>
      <c r="AF760" s="511"/>
      <c r="AG760" s="511"/>
      <c r="AH760" s="511"/>
      <c r="AI760" s="511"/>
      <c r="AJ760" s="511"/>
      <c r="AK760" s="511"/>
      <c r="AL760" s="511"/>
      <c r="AM760" s="511"/>
      <c r="AN760" s="511"/>
      <c r="AO760" s="511"/>
      <c r="AP760" s="511"/>
      <c r="AQ760" s="511"/>
      <c r="AR760" s="511"/>
      <c r="AS760" s="511"/>
      <c r="AT760" s="511"/>
    </row>
    <row r="761" spans="2:46" s="510" customFormat="1" ht="22.15" customHeight="1" x14ac:dyDescent="0.15">
      <c r="B761" s="1614"/>
      <c r="C761" s="901" t="s">
        <v>1715</v>
      </c>
      <c r="D761" s="901"/>
      <c r="E761" s="901"/>
      <c r="F761" s="901"/>
      <c r="G761" s="901"/>
      <c r="H761" s="901"/>
      <c r="I761" s="901"/>
      <c r="J761" s="901"/>
      <c r="K761" s="901"/>
      <c r="L761" s="900">
        <f t="shared" ca="1" si="33"/>
        <v>0</v>
      </c>
      <c r="M761" s="900"/>
      <c r="N761" s="900"/>
      <c r="O761" s="900"/>
      <c r="P761" s="900"/>
      <c r="Q761" s="900"/>
      <c r="R761" s="900"/>
      <c r="S761" s="900"/>
      <c r="T761" s="900"/>
      <c r="U761" s="525"/>
      <c r="V761" s="525"/>
      <c r="W761" s="526"/>
      <c r="X761" s="511"/>
      <c r="Y761" s="511"/>
      <c r="Z761" s="511"/>
      <c r="AA761" s="511"/>
      <c r="AB761" s="511"/>
      <c r="AC761" s="511"/>
      <c r="AD761" s="511"/>
      <c r="AE761" s="511"/>
      <c r="AF761" s="511"/>
      <c r="AG761" s="511"/>
      <c r="AH761" s="511"/>
      <c r="AI761" s="511"/>
      <c r="AJ761" s="511"/>
      <c r="AK761" s="511"/>
      <c r="AL761" s="511"/>
      <c r="AM761" s="511"/>
      <c r="AN761" s="511"/>
      <c r="AO761" s="511"/>
      <c r="AP761" s="511"/>
      <c r="AQ761" s="511"/>
      <c r="AR761" s="511"/>
      <c r="AS761" s="511"/>
      <c r="AT761" s="511"/>
    </row>
    <row r="762" spans="2:46" s="510" customFormat="1" ht="22.15" customHeight="1" x14ac:dyDescent="0.15">
      <c r="B762" s="1614"/>
      <c r="C762" s="935" t="s">
        <v>1716</v>
      </c>
      <c r="D762" s="935"/>
      <c r="E762" s="935"/>
      <c r="F762" s="935"/>
      <c r="G762" s="935"/>
      <c r="H762" s="935"/>
      <c r="I762" s="935"/>
      <c r="J762" s="935"/>
      <c r="K762" s="935"/>
      <c r="L762" s="900">
        <f t="shared" ca="1" si="33"/>
        <v>0</v>
      </c>
      <c r="M762" s="900"/>
      <c r="N762" s="900"/>
      <c r="O762" s="900"/>
      <c r="P762" s="900"/>
      <c r="Q762" s="900"/>
      <c r="R762" s="900"/>
      <c r="S762" s="900"/>
      <c r="T762" s="900"/>
      <c r="U762" s="525"/>
      <c r="V762" s="525"/>
      <c r="W762" s="526"/>
      <c r="X762" s="511"/>
      <c r="Y762" s="511"/>
      <c r="Z762" s="511"/>
      <c r="AA762" s="511"/>
      <c r="AB762" s="511"/>
      <c r="AC762" s="511"/>
      <c r="AD762" s="511"/>
      <c r="AE762" s="511"/>
      <c r="AF762" s="511"/>
      <c r="AG762" s="511"/>
      <c r="AH762" s="511"/>
      <c r="AI762" s="511"/>
      <c r="AJ762" s="511"/>
      <c r="AK762" s="511"/>
      <c r="AL762" s="511"/>
      <c r="AM762" s="511"/>
      <c r="AN762" s="511"/>
      <c r="AO762" s="511"/>
      <c r="AP762" s="511"/>
      <c r="AQ762" s="511"/>
      <c r="AR762" s="511"/>
      <c r="AS762" s="511"/>
      <c r="AT762" s="511"/>
    </row>
    <row r="763" spans="2:46" s="510" customFormat="1" ht="22.15" customHeight="1" x14ac:dyDescent="0.15">
      <c r="B763" s="1614"/>
      <c r="C763" s="898" t="s">
        <v>1717</v>
      </c>
      <c r="D763" s="898"/>
      <c r="E763" s="898"/>
      <c r="F763" s="898"/>
      <c r="G763" s="898"/>
      <c r="H763" s="898"/>
      <c r="I763" s="898"/>
      <c r="J763" s="898"/>
      <c r="K763" s="898"/>
      <c r="L763" s="899">
        <f t="shared" ca="1" si="33"/>
        <v>0</v>
      </c>
      <c r="M763" s="899"/>
      <c r="N763" s="899"/>
      <c r="O763" s="899"/>
      <c r="P763" s="899"/>
      <c r="Q763" s="899"/>
      <c r="R763" s="899"/>
      <c r="S763" s="899"/>
      <c r="T763" s="899"/>
      <c r="U763" s="525"/>
      <c r="V763" s="525"/>
      <c r="W763" s="526"/>
      <c r="X763" s="511"/>
      <c r="Y763" s="511"/>
      <c r="Z763" s="511"/>
      <c r="AA763" s="511"/>
      <c r="AB763" s="511"/>
      <c r="AC763" s="511"/>
      <c r="AD763" s="511"/>
      <c r="AE763" s="511"/>
      <c r="AF763" s="511"/>
      <c r="AG763" s="511"/>
      <c r="AH763" s="511"/>
      <c r="AI763" s="511"/>
      <c r="AJ763" s="511"/>
      <c r="AK763" s="511"/>
      <c r="AL763" s="511"/>
      <c r="AM763" s="511"/>
      <c r="AN763" s="511"/>
      <c r="AO763" s="511"/>
      <c r="AP763" s="511"/>
      <c r="AQ763" s="511"/>
      <c r="AR763" s="511"/>
      <c r="AS763" s="511"/>
      <c r="AT763" s="511"/>
    </row>
    <row r="764" spans="2:46" s="510" customFormat="1" ht="22.15" customHeight="1" x14ac:dyDescent="0.15">
      <c r="B764" s="1614"/>
      <c r="C764" s="575" t="s">
        <v>1718</v>
      </c>
      <c r="D764" s="575"/>
      <c r="E764" s="575"/>
      <c r="F764" s="575"/>
      <c r="G764" s="575"/>
      <c r="H764" s="575"/>
      <c r="I764" s="575"/>
      <c r="J764" s="575"/>
      <c r="K764" s="575"/>
      <c r="L764" s="574">
        <f t="shared" ca="1" si="33"/>
        <v>0</v>
      </c>
      <c r="M764" s="574"/>
      <c r="N764" s="574"/>
      <c r="O764" s="574"/>
      <c r="P764" s="574"/>
      <c r="Q764" s="574"/>
      <c r="R764" s="574"/>
      <c r="S764" s="574"/>
      <c r="T764" s="574"/>
      <c r="U764" s="525"/>
      <c r="V764" s="525"/>
      <c r="W764" s="526"/>
      <c r="X764" s="511"/>
      <c r="Y764" s="511"/>
      <c r="Z764" s="511"/>
      <c r="AA764" s="511"/>
      <c r="AB764" s="511"/>
      <c r="AC764" s="511"/>
      <c r="AD764" s="511"/>
      <c r="AE764" s="511"/>
      <c r="AF764" s="511"/>
      <c r="AG764" s="511"/>
      <c r="AH764" s="511"/>
      <c r="AI764" s="511"/>
      <c r="AJ764" s="511"/>
      <c r="AK764" s="511"/>
      <c r="AL764" s="511"/>
      <c r="AM764" s="511"/>
      <c r="AN764" s="511"/>
      <c r="AO764" s="511"/>
      <c r="AP764" s="511"/>
      <c r="AQ764" s="511"/>
      <c r="AR764" s="511"/>
      <c r="AS764" s="511"/>
      <c r="AT764" s="511"/>
    </row>
    <row r="765" spans="2:46" s="510" customFormat="1" ht="22.15" customHeight="1" thickBot="1" x14ac:dyDescent="0.2">
      <c r="B765" s="1614"/>
      <c r="C765" s="1590" t="s">
        <v>1719</v>
      </c>
      <c r="D765" s="1590"/>
      <c r="E765" s="1590"/>
      <c r="F765" s="1590"/>
      <c r="G765" s="1590"/>
      <c r="H765" s="1590"/>
      <c r="I765" s="1590"/>
      <c r="J765" s="1590"/>
      <c r="K765" s="1590"/>
      <c r="L765" s="576">
        <f t="shared" ca="1" si="33"/>
        <v>0</v>
      </c>
      <c r="M765" s="576"/>
      <c r="N765" s="576"/>
      <c r="O765" s="576"/>
      <c r="P765" s="576"/>
      <c r="Q765" s="576"/>
      <c r="R765" s="576"/>
      <c r="S765" s="576"/>
      <c r="T765" s="576"/>
      <c r="U765" s="525"/>
      <c r="V765" s="525"/>
      <c r="W765" s="526"/>
      <c r="X765" s="511"/>
      <c r="Y765" s="511"/>
      <c r="Z765" s="511"/>
      <c r="AA765" s="511"/>
      <c r="AB765" s="511"/>
      <c r="AC765" s="511"/>
      <c r="AD765" s="511"/>
      <c r="AE765" s="511"/>
      <c r="AF765" s="511"/>
      <c r="AG765" s="511"/>
      <c r="AH765" s="511"/>
      <c r="AI765" s="511"/>
      <c r="AJ765" s="511"/>
      <c r="AK765" s="511"/>
      <c r="AL765" s="511"/>
      <c r="AM765" s="511"/>
      <c r="AN765" s="511"/>
      <c r="AO765" s="511"/>
      <c r="AP765" s="511"/>
      <c r="AQ765" s="511"/>
      <c r="AR765" s="511"/>
      <c r="AS765" s="511"/>
      <c r="AT765" s="511"/>
    </row>
    <row r="766" spans="2:46" s="510" customFormat="1" ht="22.15" customHeight="1" thickTop="1" thickBot="1" x14ac:dyDescent="0.2">
      <c r="B766" s="1614"/>
      <c r="C766" s="903" t="s">
        <v>1748</v>
      </c>
      <c r="D766" s="904"/>
      <c r="E766" s="904"/>
      <c r="F766" s="904"/>
      <c r="G766" s="904"/>
      <c r="H766" s="904"/>
      <c r="I766" s="904"/>
      <c r="J766" s="904"/>
      <c r="K766" s="905"/>
      <c r="L766" s="906">
        <f t="shared" ca="1" si="33"/>
        <v>0</v>
      </c>
      <c r="M766" s="906"/>
      <c r="N766" s="906"/>
      <c r="O766" s="906"/>
      <c r="P766" s="906"/>
      <c r="Q766" s="906"/>
      <c r="R766" s="906"/>
      <c r="S766" s="906"/>
      <c r="T766" s="906"/>
      <c r="U766" s="525"/>
      <c r="V766" s="525"/>
      <c r="W766" s="527"/>
      <c r="X766" s="511"/>
      <c r="Y766" s="511"/>
      <c r="Z766" s="511"/>
      <c r="AA766" s="511"/>
      <c r="AB766" s="511"/>
      <c r="AC766" s="511"/>
      <c r="AD766" s="511"/>
      <c r="AE766" s="511"/>
      <c r="AF766" s="511"/>
      <c r="AG766" s="511"/>
      <c r="AH766" s="511"/>
      <c r="AI766" s="511"/>
      <c r="AJ766" s="511"/>
      <c r="AK766" s="511"/>
      <c r="AL766" s="511"/>
      <c r="AM766" s="511"/>
      <c r="AN766" s="511"/>
      <c r="AO766" s="511"/>
      <c r="AP766" s="511"/>
      <c r="AQ766" s="511"/>
      <c r="AR766" s="511"/>
      <c r="AS766" s="511"/>
      <c r="AT766" s="511"/>
    </row>
    <row r="767" spans="2:46" s="510" customFormat="1" ht="22.15" customHeight="1" thickTop="1" thickBot="1" x14ac:dyDescent="0.2">
      <c r="B767" s="1614"/>
      <c r="C767" s="952" t="s">
        <v>1720</v>
      </c>
      <c r="D767" s="953"/>
      <c r="E767" s="953"/>
      <c r="F767" s="953"/>
      <c r="G767" s="953"/>
      <c r="H767" s="953"/>
      <c r="I767" s="953"/>
      <c r="J767" s="953"/>
      <c r="K767" s="954"/>
      <c r="L767" s="955">
        <f t="shared" ca="1" si="33"/>
        <v>0</v>
      </c>
      <c r="M767" s="956"/>
      <c r="N767" s="956"/>
      <c r="O767" s="956"/>
      <c r="P767" s="956"/>
      <c r="Q767" s="956"/>
      <c r="R767" s="956"/>
      <c r="S767" s="956"/>
      <c r="T767" s="957"/>
      <c r="U767" s="525"/>
      <c r="V767" s="525"/>
      <c r="W767" s="527"/>
      <c r="X767" s="511"/>
      <c r="Y767" s="511"/>
      <c r="Z767" s="511"/>
      <c r="AA767" s="511"/>
      <c r="AB767" s="511"/>
      <c r="AC767" s="511"/>
      <c r="AD767" s="511"/>
      <c r="AE767" s="511"/>
      <c r="AF767" s="511"/>
      <c r="AG767" s="511"/>
      <c r="AH767" s="511"/>
      <c r="AI767" s="511"/>
      <c r="AJ767" s="511"/>
      <c r="AK767" s="511"/>
      <c r="AL767" s="511"/>
      <c r="AM767" s="511"/>
      <c r="AN767" s="511"/>
      <c r="AO767" s="511"/>
      <c r="AP767" s="511"/>
      <c r="AQ767" s="511"/>
      <c r="AR767" s="511"/>
      <c r="AS767" s="511"/>
      <c r="AT767" s="511"/>
    </row>
    <row r="768" spans="2:46" s="510" customFormat="1" ht="22.15" customHeight="1" thickTop="1" x14ac:dyDescent="0.15">
      <c r="B768" s="1614"/>
      <c r="C768" s="958" t="s">
        <v>1721</v>
      </c>
      <c r="D768" s="958"/>
      <c r="E768" s="958"/>
      <c r="F768" s="958"/>
      <c r="G768" s="958"/>
      <c r="H768" s="958"/>
      <c r="I768" s="958"/>
      <c r="J768" s="958"/>
      <c r="K768" s="958"/>
      <c r="L768" s="959">
        <f t="shared" ca="1" si="33"/>
        <v>0</v>
      </c>
      <c r="M768" s="959"/>
      <c r="N768" s="959"/>
      <c r="O768" s="959"/>
      <c r="P768" s="959"/>
      <c r="Q768" s="959"/>
      <c r="R768" s="959"/>
      <c r="S768" s="959"/>
      <c r="T768" s="959"/>
      <c r="U768" s="525"/>
      <c r="V768" s="525"/>
      <c r="W768" s="527"/>
      <c r="X768" s="511"/>
      <c r="Y768" s="511"/>
      <c r="Z768" s="511"/>
      <c r="AA768" s="511"/>
      <c r="AB768" s="511"/>
      <c r="AC768" s="511"/>
      <c r="AD768" s="511"/>
      <c r="AE768" s="511"/>
      <c r="AF768" s="511"/>
      <c r="AG768" s="511"/>
      <c r="AH768" s="511"/>
      <c r="AI768" s="511"/>
      <c r="AJ768" s="511"/>
      <c r="AK768" s="511"/>
      <c r="AL768" s="511"/>
      <c r="AM768" s="511"/>
      <c r="AN768" s="511"/>
      <c r="AO768" s="511"/>
      <c r="AP768" s="511"/>
      <c r="AQ768" s="511"/>
      <c r="AR768" s="511"/>
      <c r="AS768" s="511"/>
      <c r="AT768" s="511"/>
    </row>
    <row r="769" spans="1:46" s="510" customFormat="1" ht="22.15" customHeight="1" x14ac:dyDescent="0.15">
      <c r="B769" s="1614"/>
      <c r="C769" s="575" t="s">
        <v>1722</v>
      </c>
      <c r="D769" s="575"/>
      <c r="E769" s="575"/>
      <c r="F769" s="575"/>
      <c r="G769" s="575"/>
      <c r="H769" s="575"/>
      <c r="I769" s="575"/>
      <c r="J769" s="575"/>
      <c r="K769" s="575"/>
      <c r="L769" s="574">
        <f t="shared" ca="1" si="33"/>
        <v>0</v>
      </c>
      <c r="M769" s="574"/>
      <c r="N769" s="574"/>
      <c r="O769" s="574"/>
      <c r="P769" s="574"/>
      <c r="Q769" s="574"/>
      <c r="R769" s="574"/>
      <c r="S769" s="574"/>
      <c r="T769" s="574"/>
      <c r="U769" s="525"/>
      <c r="V769" s="525"/>
      <c r="W769" s="527"/>
      <c r="X769" s="511"/>
      <c r="Y769" s="511"/>
      <c r="Z769" s="511"/>
      <c r="AA769" s="511"/>
      <c r="AB769" s="511"/>
      <c r="AC769" s="511"/>
      <c r="AD769" s="511"/>
      <c r="AE769" s="511"/>
      <c r="AF769" s="511"/>
      <c r="AG769" s="511"/>
      <c r="AH769" s="511"/>
      <c r="AI769" s="511"/>
      <c r="AJ769" s="511"/>
      <c r="AK769" s="511"/>
      <c r="AL769" s="511"/>
      <c r="AM769" s="511"/>
      <c r="AN769" s="511"/>
      <c r="AO769" s="511"/>
      <c r="AP769" s="511"/>
      <c r="AQ769" s="511"/>
      <c r="AR769" s="511"/>
      <c r="AS769" s="511"/>
      <c r="AT769" s="511"/>
    </row>
    <row r="770" spans="1:46" s="510" customFormat="1" ht="22.15" customHeight="1" x14ac:dyDescent="0.15">
      <c r="B770" s="1614"/>
      <c r="C770" s="575" t="s">
        <v>1723</v>
      </c>
      <c r="D770" s="575"/>
      <c r="E770" s="575"/>
      <c r="F770" s="575"/>
      <c r="G770" s="575"/>
      <c r="H770" s="575"/>
      <c r="I770" s="575"/>
      <c r="J770" s="575"/>
      <c r="K770" s="575"/>
      <c r="L770" s="574">
        <f t="shared" ca="1" si="33"/>
        <v>0</v>
      </c>
      <c r="M770" s="574"/>
      <c r="N770" s="574"/>
      <c r="O770" s="574"/>
      <c r="P770" s="574"/>
      <c r="Q770" s="574"/>
      <c r="R770" s="574"/>
      <c r="S770" s="574"/>
      <c r="T770" s="574"/>
      <c r="U770" s="525"/>
      <c r="V770" s="525"/>
      <c r="W770" s="527"/>
      <c r="X770" s="511"/>
      <c r="Y770" s="511"/>
      <c r="Z770" s="511"/>
      <c r="AA770" s="511"/>
      <c r="AB770" s="511"/>
      <c r="AC770" s="511"/>
      <c r="AD770" s="511"/>
      <c r="AE770" s="511"/>
      <c r="AF770" s="511"/>
      <c r="AG770" s="511"/>
      <c r="AH770" s="511"/>
      <c r="AI770" s="511"/>
      <c r="AJ770" s="511"/>
      <c r="AK770" s="511"/>
      <c r="AL770" s="511"/>
      <c r="AM770" s="511"/>
      <c r="AN770" s="511"/>
      <c r="AO770" s="511"/>
      <c r="AP770" s="511"/>
      <c r="AQ770" s="511"/>
      <c r="AR770" s="511"/>
      <c r="AS770" s="511"/>
      <c r="AT770" s="511"/>
    </row>
    <row r="771" spans="1:46" s="510" customFormat="1" ht="22.15" customHeight="1" thickBot="1" x14ac:dyDescent="0.2">
      <c r="B771" s="1614"/>
      <c r="C771" s="907" t="s">
        <v>1724</v>
      </c>
      <c r="D771" s="907"/>
      <c r="E771" s="907"/>
      <c r="F771" s="907"/>
      <c r="G771" s="907"/>
      <c r="H771" s="907"/>
      <c r="I771" s="907"/>
      <c r="J771" s="907"/>
      <c r="K771" s="907"/>
      <c r="L771" s="908">
        <f t="shared" ca="1" si="33"/>
        <v>0</v>
      </c>
      <c r="M771" s="908"/>
      <c r="N771" s="908"/>
      <c r="O771" s="908"/>
      <c r="P771" s="908"/>
      <c r="Q771" s="908"/>
      <c r="R771" s="908"/>
      <c r="S771" s="908"/>
      <c r="T771" s="908"/>
      <c r="U771" s="525"/>
      <c r="V771" s="525"/>
      <c r="W771" s="527"/>
      <c r="X771" s="511"/>
      <c r="Y771" s="511"/>
      <c r="Z771" s="511"/>
      <c r="AA771" s="511"/>
      <c r="AB771" s="511"/>
      <c r="AC771" s="511"/>
      <c r="AD771" s="511"/>
      <c r="AE771" s="511"/>
      <c r="AF771" s="511"/>
      <c r="AG771" s="511"/>
      <c r="AH771" s="511"/>
      <c r="AI771" s="511"/>
      <c r="AJ771" s="511"/>
      <c r="AK771" s="511"/>
      <c r="AL771" s="511"/>
      <c r="AM771" s="511"/>
      <c r="AN771" s="511"/>
      <c r="AO771" s="511"/>
      <c r="AP771" s="511"/>
      <c r="AQ771" s="511"/>
      <c r="AR771" s="511"/>
      <c r="AS771" s="511"/>
      <c r="AT771" s="511"/>
    </row>
    <row r="772" spans="1:46" s="510" customFormat="1" ht="22.15" customHeight="1" thickTop="1" x14ac:dyDescent="0.15">
      <c r="B772" s="1614"/>
      <c r="C772" s="924" t="s">
        <v>1749</v>
      </c>
      <c r="D772" s="924"/>
      <c r="E772" s="924"/>
      <c r="F772" s="924"/>
      <c r="G772" s="924"/>
      <c r="H772" s="924"/>
      <c r="I772" s="924"/>
      <c r="J772" s="924"/>
      <c r="K772" s="924"/>
      <c r="L772" s="936">
        <f t="shared" ca="1" si="33"/>
        <v>0</v>
      </c>
      <c r="M772" s="936"/>
      <c r="N772" s="936"/>
      <c r="O772" s="936"/>
      <c r="P772" s="936"/>
      <c r="Q772" s="936"/>
      <c r="R772" s="936"/>
      <c r="S772" s="936"/>
      <c r="T772" s="936"/>
      <c r="U772" s="525"/>
      <c r="V772" s="525"/>
      <c r="W772" s="527"/>
      <c r="X772" s="511"/>
      <c r="Y772" s="511"/>
      <c r="Z772" s="511"/>
      <c r="AA772" s="511"/>
      <c r="AB772" s="511"/>
      <c r="AC772" s="511"/>
      <c r="AD772" s="511"/>
      <c r="AE772" s="511"/>
      <c r="AF772" s="511"/>
      <c r="AG772" s="511"/>
      <c r="AH772" s="511"/>
      <c r="AI772" s="511"/>
      <c r="AJ772" s="511"/>
      <c r="AK772" s="511"/>
      <c r="AL772" s="511"/>
      <c r="AM772" s="511"/>
      <c r="AN772" s="511"/>
      <c r="AO772" s="511"/>
      <c r="AP772" s="511"/>
      <c r="AQ772" s="511"/>
      <c r="AR772" s="511"/>
      <c r="AS772" s="511"/>
      <c r="AT772" s="511"/>
    </row>
    <row r="773" spans="1:46" s="510" customFormat="1" ht="13.5" customHeight="1" x14ac:dyDescent="0.15">
      <c r="F773" s="514"/>
      <c r="G773" s="514"/>
      <c r="H773" s="514"/>
      <c r="I773" s="515"/>
      <c r="J773" s="515"/>
      <c r="K773" s="515"/>
      <c r="L773" s="514"/>
      <c r="M773" s="515"/>
      <c r="N773" s="515"/>
      <c r="O773" s="515"/>
      <c r="P773" s="514"/>
      <c r="Q773" s="516"/>
      <c r="R773" s="517"/>
      <c r="S773" s="517"/>
      <c r="T773" s="514"/>
      <c r="W773" s="511"/>
      <c r="X773" s="511"/>
      <c r="Y773" s="511"/>
      <c r="Z773" s="511"/>
      <c r="AA773" s="511"/>
      <c r="AB773" s="511"/>
      <c r="AC773" s="511"/>
      <c r="AD773" s="511"/>
      <c r="AE773" s="511"/>
      <c r="AF773" s="511"/>
      <c r="AG773" s="511"/>
      <c r="AH773" s="511"/>
      <c r="AI773" s="511"/>
      <c r="AJ773" s="511"/>
      <c r="AK773" s="511"/>
      <c r="AL773" s="511"/>
      <c r="AM773" s="511"/>
      <c r="AN773" s="511"/>
      <c r="AO773" s="511"/>
      <c r="AP773" s="511"/>
      <c r="AQ773" s="511"/>
      <c r="AR773" s="511"/>
      <c r="AS773" s="511"/>
      <c r="AT773" s="511"/>
    </row>
    <row r="774" spans="1:46" s="510" customFormat="1" ht="27" customHeight="1" x14ac:dyDescent="0.15">
      <c r="A774" s="960" t="s">
        <v>1803</v>
      </c>
      <c r="B774" s="960"/>
      <c r="C774" s="960"/>
      <c r="D774" s="960"/>
      <c r="E774" s="960"/>
      <c r="F774" s="960"/>
      <c r="G774" s="960"/>
      <c r="H774" s="960"/>
      <c r="I774" s="960"/>
      <c r="J774" s="960"/>
      <c r="W774" s="511" t="s">
        <v>1956</v>
      </c>
      <c r="X774" s="511"/>
      <c r="Y774" s="511"/>
      <c r="Z774" s="511"/>
      <c r="AA774" s="511"/>
      <c r="AB774" s="511"/>
      <c r="AC774" s="511"/>
      <c r="AD774" s="511"/>
      <c r="AE774" s="511"/>
      <c r="AF774" s="511"/>
      <c r="AG774" s="511"/>
      <c r="AH774" s="511"/>
      <c r="AI774" s="511"/>
      <c r="AJ774" s="511"/>
      <c r="AK774" s="511"/>
      <c r="AL774" s="511"/>
      <c r="AM774" s="511"/>
      <c r="AN774" s="511"/>
      <c r="AO774" s="511"/>
      <c r="AP774" s="511"/>
      <c r="AQ774" s="511"/>
      <c r="AR774" s="511"/>
      <c r="AS774" s="511"/>
      <c r="AT774" s="511"/>
    </row>
    <row r="775" spans="1:46" s="510" customFormat="1" ht="13.5" customHeight="1" x14ac:dyDescent="0.15">
      <c r="A775" s="512" t="s">
        <v>1734</v>
      </c>
      <c r="B775" s="962" t="s">
        <v>1682</v>
      </c>
      <c r="C775" s="962"/>
      <c r="D775" s="962"/>
      <c r="E775" s="962"/>
      <c r="F775" s="962"/>
      <c r="G775" s="962"/>
      <c r="H775" s="962"/>
      <c r="I775" s="962"/>
      <c r="J775" s="962"/>
      <c r="K775" s="962"/>
      <c r="L775" s="962"/>
      <c r="M775" s="962"/>
      <c r="N775" s="962"/>
      <c r="O775" s="962"/>
      <c r="P775" s="962"/>
      <c r="Q775" s="962"/>
      <c r="R775" s="962"/>
      <c r="S775" s="962"/>
      <c r="T775" s="962"/>
      <c r="U775" s="962"/>
      <c r="V775" s="962"/>
      <c r="W775" s="511"/>
      <c r="X775" s="511"/>
      <c r="Y775" s="511"/>
      <c r="Z775" s="511"/>
      <c r="AA775" s="511"/>
      <c r="AB775" s="511"/>
      <c r="AC775" s="511"/>
      <c r="AD775" s="511"/>
      <c r="AE775" s="511"/>
      <c r="AF775" s="511"/>
      <c r="AG775" s="511"/>
      <c r="AH775" s="511"/>
      <c r="AI775" s="511"/>
      <c r="AJ775" s="511"/>
      <c r="AK775" s="511"/>
      <c r="AL775" s="511"/>
      <c r="AM775" s="511"/>
      <c r="AN775" s="511"/>
      <c r="AO775" s="511"/>
      <c r="AP775" s="511"/>
      <c r="AQ775" s="511"/>
      <c r="AR775" s="511"/>
      <c r="AS775" s="511"/>
      <c r="AT775" s="511"/>
    </row>
    <row r="776" spans="1:46" s="510" customFormat="1" ht="13.5" customHeight="1" x14ac:dyDescent="0.15">
      <c r="A776" s="513" t="s">
        <v>72</v>
      </c>
      <c r="B776" s="670" t="s">
        <v>1864</v>
      </c>
      <c r="C776" s="670"/>
      <c r="D776" s="670"/>
      <c r="E776" s="670"/>
      <c r="F776" s="670"/>
      <c r="G776" s="670"/>
      <c r="H776" s="670"/>
      <c r="I776" s="670"/>
      <c r="J776" s="670"/>
      <c r="K776" s="670"/>
      <c r="L776" s="670"/>
      <c r="M776" s="670"/>
      <c r="N776" s="670"/>
      <c r="O776" s="670"/>
      <c r="P776" s="670"/>
      <c r="Q776" s="670"/>
      <c r="R776" s="670"/>
      <c r="S776" s="670"/>
      <c r="T776" s="670"/>
      <c r="U776" s="670"/>
      <c r="V776" s="670"/>
      <c r="W776" s="511"/>
      <c r="X776" s="511"/>
      <c r="Y776" s="511"/>
      <c r="Z776" s="511"/>
      <c r="AA776" s="511"/>
      <c r="AB776" s="511"/>
      <c r="AC776" s="511"/>
      <c r="AD776" s="511"/>
      <c r="AE776" s="511"/>
      <c r="AF776" s="511"/>
      <c r="AG776" s="511"/>
      <c r="AH776" s="511"/>
      <c r="AI776" s="511"/>
      <c r="AJ776" s="511"/>
      <c r="AK776" s="511"/>
      <c r="AL776" s="511"/>
      <c r="AM776" s="511"/>
      <c r="AN776" s="511"/>
      <c r="AO776" s="511"/>
      <c r="AP776" s="511"/>
      <c r="AQ776" s="511"/>
      <c r="AR776" s="511"/>
      <c r="AS776" s="511"/>
      <c r="AT776" s="511"/>
    </row>
    <row r="777" spans="1:46" s="510" customFormat="1" ht="13.5" customHeight="1" x14ac:dyDescent="0.15">
      <c r="F777" s="514"/>
      <c r="G777" s="514"/>
      <c r="H777" s="514"/>
      <c r="I777" s="515"/>
      <c r="J777" s="515"/>
      <c r="K777" s="515"/>
      <c r="L777" s="514"/>
      <c r="M777" s="515"/>
      <c r="N777" s="515"/>
      <c r="O777" s="515"/>
      <c r="P777" s="514"/>
      <c r="Q777" s="516"/>
      <c r="R777" s="517"/>
      <c r="S777" s="517"/>
      <c r="T777" s="514"/>
      <c r="W777" s="511"/>
      <c r="X777" s="511"/>
      <c r="Y777" s="511"/>
      <c r="Z777" s="511"/>
      <c r="AA777" s="511"/>
      <c r="AB777" s="511"/>
      <c r="AC777" s="511"/>
      <c r="AD777" s="511"/>
      <c r="AE777" s="511"/>
      <c r="AF777" s="511"/>
      <c r="AG777" s="511"/>
      <c r="AH777" s="511"/>
      <c r="AI777" s="511"/>
      <c r="AJ777" s="511"/>
      <c r="AK777" s="511"/>
      <c r="AL777" s="511"/>
      <c r="AM777" s="511"/>
      <c r="AN777" s="511"/>
      <c r="AO777" s="511"/>
      <c r="AP777" s="511"/>
      <c r="AQ777" s="511"/>
      <c r="AR777" s="511"/>
      <c r="AS777" s="511"/>
      <c r="AT777" s="511"/>
    </row>
    <row r="778" spans="1:46" s="510" customFormat="1" ht="24.95" customHeight="1" thickBot="1" x14ac:dyDescent="0.2">
      <c r="B778" s="1597" t="s">
        <v>563</v>
      </c>
      <c r="C778" s="937" t="s">
        <v>564</v>
      </c>
      <c r="D778" s="938"/>
      <c r="E778" s="938"/>
      <c r="F778" s="938"/>
      <c r="G778" s="938"/>
      <c r="H778" s="938"/>
      <c r="I778" s="938"/>
      <c r="J778" s="938"/>
      <c r="K778" s="938"/>
      <c r="L778" s="938"/>
      <c r="M778" s="939"/>
      <c r="N778" s="940"/>
      <c r="O778" s="940"/>
      <c r="P778" s="940"/>
      <c r="Q778" s="940"/>
      <c r="R778" s="940"/>
      <c r="S778" s="940"/>
      <c r="T778" s="940"/>
      <c r="U778" s="940"/>
      <c r="V778" s="940"/>
      <c r="W778" s="526"/>
      <c r="X778" s="526"/>
      <c r="Y778" s="526"/>
      <c r="Z778" s="511" t="s">
        <v>1863</v>
      </c>
      <c r="AA778" s="511"/>
      <c r="AB778" s="511"/>
      <c r="AC778" s="511"/>
      <c r="AD778" s="511"/>
      <c r="AE778" s="511"/>
      <c r="AF778" s="511"/>
      <c r="AG778" s="511"/>
      <c r="AH778" s="511"/>
      <c r="AI778" s="511"/>
      <c r="AJ778" s="511"/>
      <c r="AK778" s="511"/>
      <c r="AL778" s="511"/>
      <c r="AM778" s="511"/>
      <c r="AN778" s="511"/>
      <c r="AO778" s="511"/>
      <c r="AP778" s="511"/>
      <c r="AQ778" s="511"/>
      <c r="AR778" s="511"/>
      <c r="AS778" s="511"/>
      <c r="AT778" s="511"/>
    </row>
    <row r="779" spans="1:46" s="510" customFormat="1" ht="24.95" customHeight="1" thickTop="1" thickBot="1" x14ac:dyDescent="0.2">
      <c r="B779" s="1598"/>
      <c r="C779" s="528"/>
      <c r="D779" s="529"/>
      <c r="E779" s="529"/>
      <c r="F779" s="529"/>
      <c r="G779" s="529"/>
      <c r="H779" s="529"/>
      <c r="I779" s="529"/>
      <c r="J779" s="529"/>
      <c r="K779" s="529"/>
      <c r="L779" s="529"/>
      <c r="M779" s="530"/>
      <c r="N779" s="601" t="s">
        <v>1683</v>
      </c>
      <c r="O779" s="602"/>
      <c r="P779" s="603"/>
      <c r="Q779" s="604" t="s">
        <v>1684</v>
      </c>
      <c r="R779" s="605"/>
      <c r="S779" s="606"/>
      <c r="T779" s="605" t="s">
        <v>1685</v>
      </c>
      <c r="U779" s="605"/>
      <c r="V779" s="606"/>
      <c r="W779" s="526"/>
      <c r="X779" s="526"/>
      <c r="Y779" s="526"/>
      <c r="Z779" s="511" t="s">
        <v>1684</v>
      </c>
      <c r="AA779" s="511"/>
      <c r="AB779" s="511"/>
      <c r="AC779" s="511"/>
      <c r="AD779" s="511"/>
      <c r="AE779" s="511"/>
      <c r="AF779" s="511"/>
      <c r="AG779" s="511"/>
      <c r="AH779" s="511"/>
      <c r="AI779" s="511"/>
      <c r="AJ779" s="511"/>
      <c r="AK779" s="511"/>
      <c r="AL779" s="511"/>
      <c r="AM779" s="511"/>
      <c r="AN779" s="511"/>
      <c r="AO779" s="511"/>
      <c r="AP779" s="511"/>
      <c r="AQ779" s="511"/>
      <c r="AR779" s="511"/>
      <c r="AS779" s="511"/>
      <c r="AT779" s="511"/>
    </row>
    <row r="780" spans="1:46" s="510" customFormat="1" ht="24.95" customHeight="1" thickTop="1" x14ac:dyDescent="0.15">
      <c r="B780" s="1598"/>
      <c r="C780" s="941" t="s">
        <v>712</v>
      </c>
      <c r="D780" s="941" t="s">
        <v>701</v>
      </c>
      <c r="E780" s="932" t="s">
        <v>1735</v>
      </c>
      <c r="F780" s="933"/>
      <c r="G780" s="933"/>
      <c r="H780" s="933"/>
      <c r="I780" s="933"/>
      <c r="J780" s="933"/>
      <c r="K780" s="933"/>
      <c r="L780" s="933"/>
      <c r="M780" s="934"/>
      <c r="N780" s="607">
        <f t="shared" ref="N780:N806" ca="1" si="34">SUM(Q780:V780)</f>
        <v>0</v>
      </c>
      <c r="O780" s="608"/>
      <c r="P780" s="609"/>
      <c r="Q780" s="610">
        <f t="shared" ref="Q780:Q794" ca="1" si="35">IF(ISERROR(VLOOKUP($E780,INDIRECT($Z$778&amp;"!$D$6:$G$215"),MATCH($Z$779,INDIRECT($Z$778&amp;"!$D$6:$Z$6"),0),0)),0,VLOOKUP($E780,INDIRECT($Z$778&amp;"!$D$6:$G$215"),MATCH($Z$779,INDIRECT($Z$778&amp;"!$D$6:$Z$6"),0),0))</f>
        <v>0</v>
      </c>
      <c r="R780" s="611"/>
      <c r="S780" s="612"/>
      <c r="T780" s="610">
        <f t="shared" ref="T780:T794" ca="1" si="36">IF(ISERROR(VLOOKUP($E780,INDIRECT($Z$778&amp;"!$D$6:$G$215"),MATCH($Z$780,INDIRECT($Z$778&amp;"!$D$6:$Z$6"),0),0)),0,VLOOKUP($E780,INDIRECT($Z$778&amp;"!$D$6:$G$215"),MATCH($Z$780,INDIRECT($Z$778&amp;"!$D$6:$Z$6"),0),0))</f>
        <v>0</v>
      </c>
      <c r="U780" s="611"/>
      <c r="V780" s="612"/>
      <c r="W780" s="526"/>
      <c r="X780" s="526"/>
      <c r="Y780" s="526"/>
      <c r="Z780" s="511" t="s">
        <v>1865</v>
      </c>
      <c r="AA780" s="511"/>
      <c r="AB780" s="511"/>
      <c r="AC780" s="511"/>
      <c r="AD780" s="511"/>
      <c r="AE780" s="511"/>
      <c r="AF780" s="511"/>
      <c r="AG780" s="511"/>
      <c r="AH780" s="511"/>
      <c r="AI780" s="511"/>
      <c r="AJ780" s="511"/>
      <c r="AK780" s="511"/>
      <c r="AL780" s="511"/>
      <c r="AM780" s="511"/>
      <c r="AN780" s="511"/>
      <c r="AO780" s="511"/>
      <c r="AP780" s="511"/>
      <c r="AQ780" s="511"/>
      <c r="AR780" s="511"/>
      <c r="AS780" s="511"/>
      <c r="AT780" s="511"/>
    </row>
    <row r="781" spans="1:46" s="510" customFormat="1" ht="24.95" customHeight="1" x14ac:dyDescent="0.15">
      <c r="B781" s="1598"/>
      <c r="C781" s="911"/>
      <c r="D781" s="911"/>
      <c r="E781" s="592" t="s">
        <v>566</v>
      </c>
      <c r="F781" s="593"/>
      <c r="G781" s="593"/>
      <c r="H781" s="593"/>
      <c r="I781" s="593"/>
      <c r="J781" s="593"/>
      <c r="K781" s="593"/>
      <c r="L781" s="593"/>
      <c r="M781" s="594"/>
      <c r="N781" s="613">
        <f t="shared" ca="1" si="34"/>
        <v>0</v>
      </c>
      <c r="O781" s="614"/>
      <c r="P781" s="615"/>
      <c r="Q781" s="616">
        <f t="shared" ca="1" si="35"/>
        <v>0</v>
      </c>
      <c r="R781" s="617"/>
      <c r="S781" s="618"/>
      <c r="T781" s="616">
        <f t="shared" ca="1" si="36"/>
        <v>0</v>
      </c>
      <c r="U781" s="617"/>
      <c r="V781" s="618"/>
      <c r="W781" s="526"/>
      <c r="X781" s="526"/>
      <c r="Y781" s="526"/>
      <c r="AA781" s="511"/>
      <c r="AB781" s="511"/>
      <c r="AC781" s="511"/>
      <c r="AD781" s="511"/>
      <c r="AE781" s="511"/>
      <c r="AF781" s="511"/>
      <c r="AG781" s="511"/>
      <c r="AH781" s="511"/>
      <c r="AI781" s="511"/>
      <c r="AJ781" s="511"/>
      <c r="AK781" s="511"/>
      <c r="AL781" s="511"/>
      <c r="AM781" s="511"/>
      <c r="AN781" s="511"/>
      <c r="AO781" s="511"/>
      <c r="AP781" s="511"/>
      <c r="AQ781" s="511"/>
      <c r="AR781" s="511"/>
      <c r="AS781" s="511"/>
      <c r="AT781" s="511"/>
    </row>
    <row r="782" spans="1:46" s="510" customFormat="1" ht="24.95" customHeight="1" x14ac:dyDescent="0.15">
      <c r="B782" s="1598"/>
      <c r="C782" s="911"/>
      <c r="D782" s="911"/>
      <c r="E782" s="592" t="s">
        <v>1736</v>
      </c>
      <c r="F782" s="593"/>
      <c r="G782" s="593"/>
      <c r="H782" s="593"/>
      <c r="I782" s="593"/>
      <c r="J782" s="593"/>
      <c r="K782" s="593"/>
      <c r="L782" s="593"/>
      <c r="M782" s="594"/>
      <c r="N782" s="613">
        <f t="shared" ca="1" si="34"/>
        <v>0</v>
      </c>
      <c r="O782" s="614"/>
      <c r="P782" s="615"/>
      <c r="Q782" s="616">
        <f t="shared" ca="1" si="35"/>
        <v>0</v>
      </c>
      <c r="R782" s="617"/>
      <c r="S782" s="618"/>
      <c r="T782" s="616">
        <f t="shared" ca="1" si="36"/>
        <v>0</v>
      </c>
      <c r="U782" s="617"/>
      <c r="V782" s="618"/>
      <c r="W782" s="526"/>
      <c r="X782" s="526"/>
      <c r="Y782" s="526"/>
      <c r="Z782" s="511"/>
      <c r="AA782" s="511"/>
      <c r="AB782" s="511"/>
      <c r="AC782" s="511"/>
      <c r="AD782" s="511"/>
      <c r="AE782" s="511"/>
      <c r="AF782" s="511"/>
      <c r="AG782" s="511"/>
      <c r="AH782" s="511"/>
      <c r="AI782" s="511"/>
      <c r="AJ782" s="511"/>
      <c r="AK782" s="511"/>
      <c r="AL782" s="511"/>
      <c r="AM782" s="511"/>
      <c r="AN782" s="511"/>
      <c r="AO782" s="511"/>
      <c r="AP782" s="511"/>
      <c r="AQ782" s="511"/>
      <c r="AR782" s="511"/>
      <c r="AS782" s="511"/>
      <c r="AT782" s="511"/>
    </row>
    <row r="783" spans="1:46" s="510" customFormat="1" ht="24.95" customHeight="1" x14ac:dyDescent="0.15">
      <c r="B783" s="1598"/>
      <c r="C783" s="911"/>
      <c r="D783" s="911"/>
      <c r="E783" s="592" t="s">
        <v>568</v>
      </c>
      <c r="F783" s="593"/>
      <c r="G783" s="593"/>
      <c r="H783" s="593"/>
      <c r="I783" s="593"/>
      <c r="J783" s="593"/>
      <c r="K783" s="593"/>
      <c r="L783" s="593"/>
      <c r="M783" s="594"/>
      <c r="N783" s="613">
        <f t="shared" ca="1" si="34"/>
        <v>0</v>
      </c>
      <c r="O783" s="614"/>
      <c r="P783" s="615"/>
      <c r="Q783" s="616">
        <f t="shared" ca="1" si="35"/>
        <v>0</v>
      </c>
      <c r="R783" s="617"/>
      <c r="S783" s="618"/>
      <c r="T783" s="616">
        <f t="shared" ca="1" si="36"/>
        <v>0</v>
      </c>
      <c r="U783" s="617"/>
      <c r="V783" s="618"/>
      <c r="W783" s="526"/>
      <c r="X783" s="526"/>
      <c r="Y783" s="526"/>
      <c r="Z783" s="511"/>
      <c r="AA783" s="511"/>
      <c r="AB783" s="511"/>
      <c r="AC783" s="511"/>
      <c r="AD783" s="511"/>
      <c r="AE783" s="511"/>
      <c r="AF783" s="511"/>
      <c r="AG783" s="511"/>
      <c r="AH783" s="511"/>
      <c r="AI783" s="511"/>
      <c r="AJ783" s="511"/>
      <c r="AK783" s="511"/>
      <c r="AL783" s="511"/>
      <c r="AM783" s="511"/>
      <c r="AN783" s="511"/>
      <c r="AO783" s="511"/>
      <c r="AP783" s="511"/>
      <c r="AQ783" s="511"/>
      <c r="AR783" s="511"/>
      <c r="AS783" s="511"/>
      <c r="AT783" s="511"/>
    </row>
    <row r="784" spans="1:46" s="510" customFormat="1" ht="24.95" customHeight="1" x14ac:dyDescent="0.15">
      <c r="B784" s="1598"/>
      <c r="C784" s="911"/>
      <c r="D784" s="911"/>
      <c r="E784" s="592" t="s">
        <v>569</v>
      </c>
      <c r="F784" s="593"/>
      <c r="G784" s="593"/>
      <c r="H784" s="593"/>
      <c r="I784" s="593"/>
      <c r="J784" s="593"/>
      <c r="K784" s="593"/>
      <c r="L784" s="593"/>
      <c r="M784" s="594"/>
      <c r="N784" s="613">
        <f t="shared" ca="1" si="34"/>
        <v>0</v>
      </c>
      <c r="O784" s="614"/>
      <c r="P784" s="615"/>
      <c r="Q784" s="616">
        <f t="shared" ca="1" si="35"/>
        <v>0</v>
      </c>
      <c r="R784" s="617"/>
      <c r="S784" s="618"/>
      <c r="T784" s="616">
        <f t="shared" ca="1" si="36"/>
        <v>0</v>
      </c>
      <c r="U784" s="617"/>
      <c r="V784" s="618"/>
      <c r="W784" s="526"/>
      <c r="X784" s="526"/>
      <c r="Y784" s="526"/>
      <c r="Z784" s="511"/>
      <c r="AA784" s="511"/>
      <c r="AB784" s="511"/>
      <c r="AC784" s="511"/>
      <c r="AD784" s="511"/>
      <c r="AE784" s="511"/>
      <c r="AF784" s="511"/>
      <c r="AG784" s="511"/>
      <c r="AH784" s="511"/>
      <c r="AI784" s="511"/>
      <c r="AJ784" s="511"/>
      <c r="AK784" s="511"/>
      <c r="AL784" s="511"/>
      <c r="AM784" s="511"/>
      <c r="AN784" s="511"/>
      <c r="AO784" s="511"/>
      <c r="AP784" s="511"/>
      <c r="AQ784" s="511"/>
      <c r="AR784" s="511"/>
      <c r="AS784" s="511"/>
      <c r="AT784" s="511"/>
    </row>
    <row r="785" spans="2:46" s="510" customFormat="1" ht="24.95" customHeight="1" x14ac:dyDescent="0.15">
      <c r="B785" s="1598"/>
      <c r="C785" s="911"/>
      <c r="D785" s="911"/>
      <c r="E785" s="589" t="s">
        <v>570</v>
      </c>
      <c r="F785" s="590"/>
      <c r="G785" s="590"/>
      <c r="H785" s="590"/>
      <c r="I785" s="590"/>
      <c r="J785" s="590"/>
      <c r="K785" s="590"/>
      <c r="L785" s="590"/>
      <c r="M785" s="591"/>
      <c r="N785" s="619">
        <f t="shared" ca="1" si="34"/>
        <v>0</v>
      </c>
      <c r="O785" s="620"/>
      <c r="P785" s="621"/>
      <c r="Q785" s="622">
        <f t="shared" ca="1" si="35"/>
        <v>0</v>
      </c>
      <c r="R785" s="623"/>
      <c r="S785" s="624"/>
      <c r="T785" s="622">
        <f t="shared" ca="1" si="36"/>
        <v>0</v>
      </c>
      <c r="U785" s="623"/>
      <c r="V785" s="624"/>
      <c r="W785" s="526"/>
      <c r="X785" s="526"/>
      <c r="Y785" s="526"/>
      <c r="Z785" s="511"/>
      <c r="AA785" s="511"/>
      <c r="AB785" s="511"/>
      <c r="AC785" s="511"/>
      <c r="AD785" s="511"/>
      <c r="AE785" s="511"/>
      <c r="AF785" s="511"/>
      <c r="AG785" s="511"/>
      <c r="AH785" s="511"/>
      <c r="AI785" s="511"/>
      <c r="AJ785" s="511"/>
      <c r="AK785" s="511"/>
      <c r="AL785" s="511"/>
      <c r="AM785" s="511"/>
      <c r="AN785" s="511"/>
      <c r="AO785" s="511"/>
      <c r="AP785" s="511"/>
      <c r="AQ785" s="511"/>
      <c r="AR785" s="511"/>
      <c r="AS785" s="511"/>
      <c r="AT785" s="511"/>
    </row>
    <row r="786" spans="2:46" s="510" customFormat="1" ht="24.95" customHeight="1" thickBot="1" x14ac:dyDescent="0.2">
      <c r="B786" s="1598"/>
      <c r="C786" s="911"/>
      <c r="D786" s="942"/>
      <c r="E786" s="598" t="s">
        <v>1725</v>
      </c>
      <c r="F786" s="599"/>
      <c r="G786" s="599"/>
      <c r="H786" s="599"/>
      <c r="I786" s="599"/>
      <c r="J786" s="599"/>
      <c r="K786" s="599"/>
      <c r="L786" s="599"/>
      <c r="M786" s="600"/>
      <c r="N786" s="625">
        <f t="shared" ca="1" si="34"/>
        <v>0</v>
      </c>
      <c r="O786" s="626"/>
      <c r="P786" s="627"/>
      <c r="Q786" s="661">
        <f t="shared" ca="1" si="35"/>
        <v>0</v>
      </c>
      <c r="R786" s="662"/>
      <c r="S786" s="663"/>
      <c r="T786" s="661">
        <f t="shared" ca="1" si="36"/>
        <v>0</v>
      </c>
      <c r="U786" s="662"/>
      <c r="V786" s="663"/>
      <c r="W786" s="526"/>
      <c r="X786" s="526"/>
      <c r="Y786" s="526"/>
      <c r="Z786" s="511"/>
      <c r="AA786" s="511"/>
      <c r="AB786" s="511"/>
      <c r="AC786" s="511"/>
      <c r="AD786" s="511"/>
      <c r="AE786" s="511"/>
      <c r="AF786" s="511"/>
      <c r="AG786" s="511"/>
      <c r="AH786" s="511"/>
      <c r="AI786" s="511"/>
      <c r="AJ786" s="511"/>
      <c r="AK786" s="511"/>
      <c r="AL786" s="511"/>
      <c r="AM786" s="511"/>
      <c r="AN786" s="511"/>
      <c r="AO786" s="511"/>
      <c r="AP786" s="511"/>
      <c r="AQ786" s="511"/>
      <c r="AR786" s="511"/>
      <c r="AS786" s="511"/>
      <c r="AT786" s="511"/>
    </row>
    <row r="787" spans="2:46" s="510" customFormat="1" ht="24.95" customHeight="1" thickTop="1" x14ac:dyDescent="0.15">
      <c r="B787" s="1598"/>
      <c r="C787" s="911"/>
      <c r="D787" s="941" t="s">
        <v>702</v>
      </c>
      <c r="E787" s="595" t="s">
        <v>572</v>
      </c>
      <c r="F787" s="596"/>
      <c r="G787" s="596"/>
      <c r="H787" s="596"/>
      <c r="I787" s="596"/>
      <c r="J787" s="596"/>
      <c r="K787" s="596"/>
      <c r="L787" s="596"/>
      <c r="M787" s="597"/>
      <c r="N787" s="664">
        <f t="shared" ca="1" si="34"/>
        <v>0</v>
      </c>
      <c r="O787" s="665"/>
      <c r="P787" s="666"/>
      <c r="Q787" s="628">
        <f t="shared" ca="1" si="35"/>
        <v>0</v>
      </c>
      <c r="R787" s="629"/>
      <c r="S787" s="630"/>
      <c r="T787" s="628">
        <f t="shared" ca="1" si="36"/>
        <v>0</v>
      </c>
      <c r="U787" s="629"/>
      <c r="V787" s="630"/>
      <c r="W787" s="526"/>
      <c r="X787" s="526"/>
      <c r="Y787" s="526"/>
      <c r="Z787" s="511"/>
      <c r="AA787" s="511"/>
      <c r="AB787" s="511"/>
      <c r="AC787" s="511"/>
      <c r="AD787" s="511"/>
      <c r="AE787" s="511"/>
      <c r="AF787" s="511"/>
      <c r="AG787" s="511"/>
      <c r="AH787" s="511"/>
      <c r="AI787" s="511"/>
      <c r="AJ787" s="511"/>
      <c r="AK787" s="511"/>
      <c r="AL787" s="511"/>
      <c r="AM787" s="511"/>
      <c r="AN787" s="511"/>
      <c r="AO787" s="511"/>
      <c r="AP787" s="511"/>
      <c r="AQ787" s="511"/>
      <c r="AR787" s="511"/>
      <c r="AS787" s="511"/>
      <c r="AT787" s="511"/>
    </row>
    <row r="788" spans="2:46" s="510" customFormat="1" ht="24.95" customHeight="1" x14ac:dyDescent="0.15">
      <c r="B788" s="1598"/>
      <c r="C788" s="911"/>
      <c r="D788" s="911"/>
      <c r="E788" s="592" t="s">
        <v>573</v>
      </c>
      <c r="F788" s="593"/>
      <c r="G788" s="593"/>
      <c r="H788" s="593"/>
      <c r="I788" s="593"/>
      <c r="J788" s="593"/>
      <c r="K788" s="593"/>
      <c r="L788" s="593"/>
      <c r="M788" s="594"/>
      <c r="N788" s="613">
        <f t="shared" ca="1" si="34"/>
        <v>0</v>
      </c>
      <c r="O788" s="614"/>
      <c r="P788" s="615"/>
      <c r="Q788" s="616">
        <f t="shared" ca="1" si="35"/>
        <v>0</v>
      </c>
      <c r="R788" s="617"/>
      <c r="S788" s="618"/>
      <c r="T788" s="616">
        <f t="shared" ca="1" si="36"/>
        <v>0</v>
      </c>
      <c r="U788" s="617"/>
      <c r="V788" s="618"/>
      <c r="W788" s="526"/>
      <c r="X788" s="526"/>
      <c r="Y788" s="526"/>
      <c r="Z788" s="511"/>
      <c r="AA788" s="511"/>
      <c r="AB788" s="511"/>
      <c r="AC788" s="511"/>
      <c r="AD788" s="511"/>
      <c r="AE788" s="511"/>
      <c r="AF788" s="511"/>
      <c r="AG788" s="511"/>
      <c r="AH788" s="511"/>
      <c r="AI788" s="511"/>
      <c r="AJ788" s="511"/>
      <c r="AK788" s="511"/>
      <c r="AL788" s="511"/>
      <c r="AM788" s="511"/>
      <c r="AN788" s="511"/>
      <c r="AO788" s="511"/>
      <c r="AP788" s="511"/>
      <c r="AQ788" s="511"/>
      <c r="AR788" s="511"/>
      <c r="AS788" s="511"/>
      <c r="AT788" s="511"/>
    </row>
    <row r="789" spans="2:46" s="510" customFormat="1" ht="24.95" customHeight="1" x14ac:dyDescent="0.15">
      <c r="B789" s="1598"/>
      <c r="C789" s="911"/>
      <c r="D789" s="911"/>
      <c r="E789" s="592" t="s">
        <v>574</v>
      </c>
      <c r="F789" s="593"/>
      <c r="G789" s="593"/>
      <c r="H789" s="593"/>
      <c r="I789" s="593"/>
      <c r="J789" s="593"/>
      <c r="K789" s="593"/>
      <c r="L789" s="593"/>
      <c r="M789" s="594"/>
      <c r="N789" s="613">
        <f t="shared" ca="1" si="34"/>
        <v>0</v>
      </c>
      <c r="O789" s="614"/>
      <c r="P789" s="615"/>
      <c r="Q789" s="616">
        <f t="shared" ca="1" si="35"/>
        <v>0</v>
      </c>
      <c r="R789" s="617"/>
      <c r="S789" s="618"/>
      <c r="T789" s="616">
        <f t="shared" ca="1" si="36"/>
        <v>0</v>
      </c>
      <c r="U789" s="617"/>
      <c r="V789" s="618"/>
      <c r="W789" s="526"/>
      <c r="X789" s="526"/>
      <c r="Y789" s="526"/>
      <c r="Z789" s="511"/>
      <c r="AA789" s="511"/>
      <c r="AB789" s="511"/>
      <c r="AC789" s="511"/>
      <c r="AD789" s="511"/>
      <c r="AE789" s="511"/>
      <c r="AF789" s="511"/>
      <c r="AG789" s="511"/>
      <c r="AH789" s="511"/>
      <c r="AI789" s="511"/>
      <c r="AJ789" s="511"/>
      <c r="AK789" s="511"/>
      <c r="AL789" s="511"/>
      <c r="AM789" s="511"/>
      <c r="AN789" s="511"/>
      <c r="AO789" s="511"/>
      <c r="AP789" s="511"/>
      <c r="AQ789" s="511"/>
      <c r="AR789" s="511"/>
      <c r="AS789" s="511"/>
      <c r="AT789" s="511"/>
    </row>
    <row r="790" spans="2:46" s="510" customFormat="1" ht="24.95" customHeight="1" x14ac:dyDescent="0.15">
      <c r="B790" s="1598"/>
      <c r="C790" s="911"/>
      <c r="D790" s="911"/>
      <c r="E790" s="592" t="s">
        <v>536</v>
      </c>
      <c r="F790" s="593"/>
      <c r="G790" s="593"/>
      <c r="H790" s="593"/>
      <c r="I790" s="593"/>
      <c r="J790" s="593"/>
      <c r="K790" s="593"/>
      <c r="L790" s="593"/>
      <c r="M790" s="594"/>
      <c r="N790" s="613">
        <f t="shared" ca="1" si="34"/>
        <v>0</v>
      </c>
      <c r="O790" s="614"/>
      <c r="P790" s="615"/>
      <c r="Q790" s="616">
        <f t="shared" ca="1" si="35"/>
        <v>0</v>
      </c>
      <c r="R790" s="617"/>
      <c r="S790" s="618"/>
      <c r="T790" s="616">
        <f t="shared" ca="1" si="36"/>
        <v>0</v>
      </c>
      <c r="U790" s="617"/>
      <c r="V790" s="618"/>
      <c r="W790" s="526"/>
      <c r="X790" s="526"/>
      <c r="Y790" s="526"/>
      <c r="Z790" s="511"/>
      <c r="AA790" s="511"/>
      <c r="AB790" s="511"/>
      <c r="AC790" s="511"/>
      <c r="AD790" s="511"/>
      <c r="AE790" s="511"/>
      <c r="AF790" s="511"/>
      <c r="AG790" s="511"/>
      <c r="AH790" s="511"/>
      <c r="AI790" s="511"/>
      <c r="AJ790" s="511"/>
      <c r="AK790" s="511"/>
      <c r="AL790" s="511"/>
      <c r="AM790" s="511"/>
      <c r="AN790" s="511"/>
      <c r="AO790" s="511"/>
      <c r="AP790" s="511"/>
      <c r="AQ790" s="511"/>
      <c r="AR790" s="511"/>
      <c r="AS790" s="511"/>
      <c r="AT790" s="511"/>
    </row>
    <row r="791" spans="2:46" s="510" customFormat="1" ht="24.95" customHeight="1" x14ac:dyDescent="0.15">
      <c r="B791" s="1598"/>
      <c r="C791" s="911"/>
      <c r="D791" s="911"/>
      <c r="E791" s="592" t="s">
        <v>575</v>
      </c>
      <c r="F791" s="593"/>
      <c r="G791" s="593"/>
      <c r="H791" s="593"/>
      <c r="I791" s="593"/>
      <c r="J791" s="593"/>
      <c r="K791" s="593"/>
      <c r="L791" s="593"/>
      <c r="M791" s="594"/>
      <c r="N791" s="613">
        <f t="shared" ca="1" si="34"/>
        <v>0</v>
      </c>
      <c r="O791" s="614"/>
      <c r="P791" s="615"/>
      <c r="Q791" s="616">
        <f t="shared" ca="1" si="35"/>
        <v>0</v>
      </c>
      <c r="R791" s="617"/>
      <c r="S791" s="618"/>
      <c r="T791" s="616">
        <f t="shared" ca="1" si="36"/>
        <v>0</v>
      </c>
      <c r="U791" s="617"/>
      <c r="V791" s="618"/>
      <c r="W791" s="526"/>
      <c r="X791" s="526"/>
      <c r="Y791" s="526"/>
      <c r="Z791" s="511"/>
      <c r="AA791" s="511"/>
      <c r="AB791" s="511"/>
      <c r="AC791" s="511"/>
      <c r="AD791" s="511"/>
      <c r="AE791" s="511"/>
      <c r="AF791" s="511"/>
      <c r="AG791" s="511"/>
      <c r="AH791" s="511"/>
      <c r="AI791" s="511"/>
      <c r="AJ791" s="511"/>
      <c r="AK791" s="511"/>
      <c r="AL791" s="511"/>
      <c r="AM791" s="511"/>
      <c r="AN791" s="511"/>
      <c r="AO791" s="511"/>
      <c r="AP791" s="511"/>
      <c r="AQ791" s="511"/>
      <c r="AR791" s="511"/>
      <c r="AS791" s="511"/>
      <c r="AT791" s="511"/>
    </row>
    <row r="792" spans="2:46" s="510" customFormat="1" ht="24.95" customHeight="1" x14ac:dyDescent="0.15">
      <c r="B792" s="1598"/>
      <c r="C792" s="911"/>
      <c r="D792" s="911"/>
      <c r="E792" s="592" t="s">
        <v>576</v>
      </c>
      <c r="F792" s="593"/>
      <c r="G792" s="593"/>
      <c r="H792" s="593"/>
      <c r="I792" s="593"/>
      <c r="J792" s="593"/>
      <c r="K792" s="593"/>
      <c r="L792" s="593"/>
      <c r="M792" s="594"/>
      <c r="N792" s="613">
        <f t="shared" ca="1" si="34"/>
        <v>0</v>
      </c>
      <c r="O792" s="614"/>
      <c r="P792" s="615"/>
      <c r="Q792" s="616">
        <f t="shared" ca="1" si="35"/>
        <v>0</v>
      </c>
      <c r="R792" s="617"/>
      <c r="S792" s="618"/>
      <c r="T792" s="616">
        <f t="shared" ca="1" si="36"/>
        <v>0</v>
      </c>
      <c r="U792" s="617"/>
      <c r="V792" s="618"/>
      <c r="W792" s="526"/>
      <c r="X792" s="526"/>
      <c r="Y792" s="526"/>
      <c r="Z792" s="511"/>
      <c r="AA792" s="511"/>
      <c r="AB792" s="511"/>
      <c r="AC792" s="511"/>
      <c r="AD792" s="511"/>
      <c r="AE792" s="511"/>
      <c r="AF792" s="511"/>
      <c r="AG792" s="511"/>
      <c r="AH792" s="511"/>
      <c r="AI792" s="511"/>
      <c r="AJ792" s="511"/>
      <c r="AK792" s="511"/>
      <c r="AL792" s="511"/>
      <c r="AM792" s="511"/>
      <c r="AN792" s="511"/>
      <c r="AO792" s="511"/>
      <c r="AP792" s="511"/>
      <c r="AQ792" s="511"/>
      <c r="AR792" s="511"/>
      <c r="AS792" s="511"/>
      <c r="AT792" s="511"/>
    </row>
    <row r="793" spans="2:46" s="510" customFormat="1" ht="24.95" customHeight="1" x14ac:dyDescent="0.15">
      <c r="B793" s="1598"/>
      <c r="C793" s="911"/>
      <c r="D793" s="911"/>
      <c r="E793" s="589" t="s">
        <v>577</v>
      </c>
      <c r="F793" s="590"/>
      <c r="G793" s="590"/>
      <c r="H793" s="590"/>
      <c r="I793" s="590"/>
      <c r="J793" s="590"/>
      <c r="K793" s="590"/>
      <c r="L793" s="590"/>
      <c r="M793" s="591"/>
      <c r="N793" s="619">
        <f t="shared" ca="1" si="34"/>
        <v>0</v>
      </c>
      <c r="O793" s="620"/>
      <c r="P793" s="621"/>
      <c r="Q793" s="622">
        <f t="shared" ca="1" si="35"/>
        <v>0</v>
      </c>
      <c r="R793" s="623"/>
      <c r="S793" s="624"/>
      <c r="T793" s="622">
        <f t="shared" ca="1" si="36"/>
        <v>0</v>
      </c>
      <c r="U793" s="623"/>
      <c r="V793" s="624"/>
      <c r="W793" s="526"/>
      <c r="X793" s="526"/>
      <c r="Y793" s="526"/>
      <c r="Z793" s="511"/>
      <c r="AA793" s="511"/>
      <c r="AB793" s="511"/>
      <c r="AC793" s="511"/>
      <c r="AD793" s="511"/>
      <c r="AE793" s="511"/>
      <c r="AF793" s="511"/>
      <c r="AG793" s="511"/>
      <c r="AH793" s="511"/>
      <c r="AI793" s="511"/>
      <c r="AJ793" s="511"/>
      <c r="AK793" s="511"/>
      <c r="AL793" s="511"/>
      <c r="AM793" s="511"/>
      <c r="AN793" s="511"/>
      <c r="AO793" s="511"/>
      <c r="AP793" s="511"/>
      <c r="AQ793" s="511"/>
      <c r="AR793" s="511"/>
      <c r="AS793" s="511"/>
      <c r="AT793" s="511"/>
    </row>
    <row r="794" spans="2:46" s="510" customFormat="1" ht="24.95" customHeight="1" thickBot="1" x14ac:dyDescent="0.2">
      <c r="B794" s="1598"/>
      <c r="C794" s="911"/>
      <c r="D794" s="942"/>
      <c r="E794" s="586" t="s">
        <v>1726</v>
      </c>
      <c r="F794" s="587"/>
      <c r="G794" s="587"/>
      <c r="H794" s="587"/>
      <c r="I794" s="587"/>
      <c r="J794" s="587"/>
      <c r="K794" s="587"/>
      <c r="L794" s="587"/>
      <c r="M794" s="588"/>
      <c r="N794" s="667">
        <f t="shared" ca="1" si="34"/>
        <v>0</v>
      </c>
      <c r="O794" s="668"/>
      <c r="P794" s="669"/>
      <c r="Q794" s="943">
        <f t="shared" ca="1" si="35"/>
        <v>0</v>
      </c>
      <c r="R794" s="944"/>
      <c r="S794" s="945"/>
      <c r="T794" s="943">
        <f t="shared" ca="1" si="36"/>
        <v>0</v>
      </c>
      <c r="U794" s="944"/>
      <c r="V794" s="945"/>
      <c r="W794" s="526"/>
      <c r="X794" s="526"/>
      <c r="Y794" s="526"/>
      <c r="Z794" s="511"/>
      <c r="AA794" s="511"/>
      <c r="AB794" s="511"/>
      <c r="AC794" s="511"/>
      <c r="AD794" s="511"/>
      <c r="AE794" s="511"/>
      <c r="AF794" s="511"/>
      <c r="AG794" s="511"/>
      <c r="AH794" s="511"/>
      <c r="AI794" s="511"/>
      <c r="AJ794" s="511"/>
      <c r="AK794" s="511"/>
      <c r="AL794" s="511"/>
      <c r="AM794" s="511"/>
      <c r="AN794" s="511"/>
      <c r="AO794" s="511"/>
      <c r="AP794" s="511"/>
      <c r="AQ794" s="511"/>
      <c r="AR794" s="511"/>
      <c r="AS794" s="511"/>
      <c r="AT794" s="511"/>
    </row>
    <row r="795" spans="2:46" s="510" customFormat="1" ht="24.95" customHeight="1" thickTop="1" thickBot="1" x14ac:dyDescent="0.2">
      <c r="B795" s="1598"/>
      <c r="C795" s="911"/>
      <c r="D795" s="894" t="s">
        <v>1727</v>
      </c>
      <c r="E795" s="920"/>
      <c r="F795" s="920"/>
      <c r="G795" s="920"/>
      <c r="H795" s="920"/>
      <c r="I795" s="920"/>
      <c r="J795" s="920"/>
      <c r="K795" s="920"/>
      <c r="L795" s="920"/>
      <c r="M795" s="921"/>
      <c r="N795" s="667">
        <f t="shared" ca="1" si="34"/>
        <v>0</v>
      </c>
      <c r="O795" s="668"/>
      <c r="P795" s="669"/>
      <c r="Q795" s="943">
        <f ca="1">IF(ISERROR(VLOOKUP($D795,INDIRECT($Z$778&amp;"!$c$6:$G$215"),MATCH($Z$779,INDIRECT($Z$778&amp;"!$c$6:$Z$6"),0),0)),0,VLOOKUP($D795,INDIRECT($Z$778&amp;"!$c$6:$G$215"),MATCH($Z$779,INDIRECT($Z$778&amp;"!$c$6:$Z$6"),0),0))</f>
        <v>0</v>
      </c>
      <c r="R795" s="944"/>
      <c r="S795" s="945"/>
      <c r="T795" s="943">
        <f ca="1">IF(ISERROR(VLOOKUP($D795,INDIRECT($Z$778&amp;"!$c$6:$G$215"),MATCH($Z$780,INDIRECT($Z$778&amp;"!$c$6:$Z$6"),0),0)),0,VLOOKUP($D795,INDIRECT($Z$778&amp;"!$c$6:$G$215"),MATCH($Z$780,INDIRECT($Z$778&amp;"!$c$6:$Z$6"),0),0))</f>
        <v>0</v>
      </c>
      <c r="U795" s="944"/>
      <c r="V795" s="945"/>
      <c r="W795" s="526"/>
      <c r="X795" s="526"/>
      <c r="Y795" s="526"/>
      <c r="Z795" s="511"/>
      <c r="AA795" s="511"/>
      <c r="AB795" s="511"/>
      <c r="AC795" s="511"/>
      <c r="AD795" s="511"/>
      <c r="AE795" s="511"/>
      <c r="AF795" s="511"/>
      <c r="AG795" s="511"/>
      <c r="AH795" s="511"/>
      <c r="AI795" s="511"/>
      <c r="AJ795" s="511"/>
      <c r="AK795" s="511"/>
      <c r="AL795" s="511"/>
      <c r="AM795" s="511"/>
      <c r="AN795" s="511"/>
      <c r="AO795" s="511"/>
      <c r="AP795" s="511"/>
      <c r="AQ795" s="511"/>
      <c r="AR795" s="511"/>
      <c r="AS795" s="511"/>
      <c r="AT795" s="511"/>
    </row>
    <row r="796" spans="2:46" s="510" customFormat="1" ht="24.95" customHeight="1" thickTop="1" thickBot="1" x14ac:dyDescent="0.2">
      <c r="B796" s="1598"/>
      <c r="C796" s="922" t="s">
        <v>713</v>
      </c>
      <c r="D796" s="531" t="s">
        <v>701</v>
      </c>
      <c r="E796" s="929" t="s">
        <v>1728</v>
      </c>
      <c r="F796" s="930"/>
      <c r="G796" s="930"/>
      <c r="H796" s="930"/>
      <c r="I796" s="930"/>
      <c r="J796" s="930"/>
      <c r="K796" s="930"/>
      <c r="L796" s="930"/>
      <c r="M796" s="931"/>
      <c r="N796" s="643">
        <f t="shared" ca="1" si="34"/>
        <v>0</v>
      </c>
      <c r="O796" s="644"/>
      <c r="P796" s="645"/>
      <c r="Q796" s="646">
        <f ca="1">IF(ISERROR(VLOOKUP($E796,INDIRECT($Z$778&amp;"!$D$6:$G$215"),MATCH($Z$779,INDIRECT($Z$778&amp;"!$D$6:$Z$6"),0),0)),0,VLOOKUP($E796,INDIRECT($Z$778&amp;"!$D$6:$G$215"),MATCH($Z$779,INDIRECT($Z$778&amp;"!$D$6:$Z$6"),0),0))</f>
        <v>0</v>
      </c>
      <c r="R796" s="647"/>
      <c r="S796" s="648"/>
      <c r="T796" s="646">
        <f ca="1">IF(ISERROR(VLOOKUP($E796,INDIRECT($Z$778&amp;"!$D$6:$G$215"),MATCH($Z$780,INDIRECT($Z$778&amp;"!$D$6:$Z$6"),0),0)),0,VLOOKUP($E796,INDIRECT($Z$778&amp;"!$D$6:$G$215"),MATCH($Z$780,INDIRECT($Z$778&amp;"!$D$6:$Z$6"),0),0))</f>
        <v>0</v>
      </c>
      <c r="U796" s="647"/>
      <c r="V796" s="648"/>
      <c r="W796" s="526"/>
      <c r="X796" s="526"/>
      <c r="Y796" s="526"/>
      <c r="Z796" s="511"/>
      <c r="AA796" s="511"/>
      <c r="AB796" s="511"/>
      <c r="AC796" s="511"/>
      <c r="AD796" s="511"/>
      <c r="AE796" s="511"/>
      <c r="AF796" s="511"/>
      <c r="AG796" s="511"/>
      <c r="AH796" s="511"/>
      <c r="AI796" s="511"/>
      <c r="AJ796" s="511"/>
      <c r="AK796" s="511"/>
      <c r="AL796" s="511"/>
      <c r="AM796" s="511"/>
      <c r="AN796" s="511"/>
      <c r="AO796" s="511"/>
      <c r="AP796" s="511"/>
      <c r="AQ796" s="511"/>
      <c r="AR796" s="511"/>
      <c r="AS796" s="511"/>
      <c r="AT796" s="511"/>
    </row>
    <row r="797" spans="2:46" s="510" customFormat="1" ht="24.95" customHeight="1" thickTop="1" x14ac:dyDescent="0.15">
      <c r="B797" s="1598"/>
      <c r="C797" s="909"/>
      <c r="D797" s="911" t="s">
        <v>702</v>
      </c>
      <c r="E797" s="932" t="s">
        <v>581</v>
      </c>
      <c r="F797" s="933"/>
      <c r="G797" s="933"/>
      <c r="H797" s="933"/>
      <c r="I797" s="933"/>
      <c r="J797" s="933"/>
      <c r="K797" s="933"/>
      <c r="L797" s="933"/>
      <c r="M797" s="934"/>
      <c r="N797" s="649">
        <f t="shared" ca="1" si="34"/>
        <v>0</v>
      </c>
      <c r="O797" s="650"/>
      <c r="P797" s="651"/>
      <c r="Q797" s="652">
        <f ca="1">IF(ISERROR(VLOOKUP($E797,INDIRECT($Z$778&amp;"!$D$6:$G$215"),MATCH($Z$779,INDIRECT($Z$778&amp;"!$D$6:$Z$6"),0),0)),0,VLOOKUP($E797,INDIRECT($Z$778&amp;"!$D$6:$G$215"),MATCH($Z$779,INDIRECT($Z$778&amp;"!$D$6:$Z$6"),0),0))</f>
        <v>0</v>
      </c>
      <c r="R797" s="653"/>
      <c r="S797" s="654"/>
      <c r="T797" s="652">
        <f ca="1">IF(ISERROR(VLOOKUP($E797,INDIRECT($Z$778&amp;"!$D$6:$G$215"),MATCH($Z$780,INDIRECT($Z$778&amp;"!$D$6:$Z$6"),0),0)),0,VLOOKUP($E797,INDIRECT($Z$778&amp;"!$D$6:$G$215"),MATCH($Z$780,INDIRECT($Z$778&amp;"!$D$6:$Z$6"),0),0))</f>
        <v>0</v>
      </c>
      <c r="U797" s="653"/>
      <c r="V797" s="654"/>
      <c r="W797" s="526"/>
      <c r="X797" s="526"/>
      <c r="Y797" s="526"/>
      <c r="Z797" s="511"/>
      <c r="AA797" s="511"/>
      <c r="AB797" s="511"/>
      <c r="AC797" s="511"/>
      <c r="AD797" s="511"/>
      <c r="AE797" s="511"/>
      <c r="AF797" s="511"/>
      <c r="AG797" s="511"/>
      <c r="AH797" s="511"/>
      <c r="AI797" s="511"/>
      <c r="AJ797" s="511"/>
      <c r="AK797" s="511"/>
      <c r="AL797" s="511"/>
      <c r="AM797" s="511"/>
      <c r="AN797" s="511"/>
      <c r="AO797" s="511"/>
      <c r="AP797" s="511"/>
      <c r="AQ797" s="511"/>
      <c r="AR797" s="511"/>
      <c r="AS797" s="511"/>
      <c r="AT797" s="511"/>
    </row>
    <row r="798" spans="2:46" s="510" customFormat="1" ht="24.95" customHeight="1" thickBot="1" x14ac:dyDescent="0.2">
      <c r="B798" s="1598"/>
      <c r="C798" s="909"/>
      <c r="D798" s="911"/>
      <c r="E798" s="1600" t="s">
        <v>1729</v>
      </c>
      <c r="F798" s="1601"/>
      <c r="G798" s="1601"/>
      <c r="H798" s="1601"/>
      <c r="I798" s="1601"/>
      <c r="J798" s="1601"/>
      <c r="K798" s="1601"/>
      <c r="L798" s="1601"/>
      <c r="M798" s="1602"/>
      <c r="N798" s="655">
        <f t="shared" ca="1" si="34"/>
        <v>0</v>
      </c>
      <c r="O798" s="656"/>
      <c r="P798" s="657"/>
      <c r="Q798" s="658">
        <f ca="1">IF(ISERROR(VLOOKUP($E798,INDIRECT($Z$778&amp;"!$D$6:$G$215"),MATCH($Z$779,INDIRECT($Z$778&amp;"!$D$6:$Z$6"),0),0)),0,VLOOKUP($E798,INDIRECT($Z$778&amp;"!$D$6:$G$215"),MATCH($Z$779,INDIRECT($Z$778&amp;"!$D$6:$Z$6"),0),0))</f>
        <v>0</v>
      </c>
      <c r="R798" s="659"/>
      <c r="S798" s="660"/>
      <c r="T798" s="658">
        <f ca="1">IF(ISERROR(VLOOKUP($E798,INDIRECT($Z$778&amp;"!$D$6:$G$215"),MATCH($Z$780,INDIRECT($Z$778&amp;"!$D$6:$Z$6"),0),0)),0,VLOOKUP($E798,INDIRECT($Z$778&amp;"!$D$6:$G$215"),MATCH($Z$780,INDIRECT($Z$778&amp;"!$D$6:$Z$6"),0),0))</f>
        <v>0</v>
      </c>
      <c r="U798" s="659"/>
      <c r="V798" s="660"/>
      <c r="W798" s="526"/>
      <c r="X798" s="526"/>
      <c r="Y798" s="526"/>
      <c r="Z798" s="511"/>
      <c r="AA798" s="511"/>
      <c r="AB798" s="511"/>
      <c r="AC798" s="511"/>
      <c r="AD798" s="511"/>
      <c r="AE798" s="511"/>
      <c r="AF798" s="511"/>
      <c r="AG798" s="511"/>
      <c r="AH798" s="511"/>
      <c r="AI798" s="511"/>
      <c r="AJ798" s="511"/>
      <c r="AK798" s="511"/>
      <c r="AL798" s="511"/>
      <c r="AM798" s="511"/>
      <c r="AN798" s="511"/>
      <c r="AO798" s="511"/>
      <c r="AP798" s="511"/>
      <c r="AQ798" s="511"/>
      <c r="AR798" s="511"/>
      <c r="AS798" s="511"/>
      <c r="AT798" s="511"/>
    </row>
    <row r="799" spans="2:46" s="510" customFormat="1" ht="24.95" customHeight="1" thickTop="1" thickBot="1" x14ac:dyDescent="0.2">
      <c r="B799" s="1598"/>
      <c r="C799" s="923"/>
      <c r="D799" s="894" t="s">
        <v>1730</v>
      </c>
      <c r="E799" s="895"/>
      <c r="F799" s="895"/>
      <c r="G799" s="895"/>
      <c r="H799" s="895"/>
      <c r="I799" s="895"/>
      <c r="J799" s="895"/>
      <c r="K799" s="895"/>
      <c r="L799" s="895"/>
      <c r="M799" s="896"/>
      <c r="N799" s="631">
        <f t="shared" ca="1" si="34"/>
        <v>0</v>
      </c>
      <c r="O799" s="632"/>
      <c r="P799" s="633"/>
      <c r="Q799" s="634">
        <f ca="1">IF(ISERROR(VLOOKUP($D799,INDIRECT($Z$778&amp;"!$c$6:$G$215"),MATCH($Z$779,INDIRECT($Z$778&amp;"!$c$6:$Z$6"),0),0)),0,VLOOKUP($D799,INDIRECT($Z$778&amp;"!$c$6:$G$215"),MATCH($Z$779,INDIRECT($Z$778&amp;"!$c$6:$Z$6"),0),0))</f>
        <v>0</v>
      </c>
      <c r="R799" s="635"/>
      <c r="S799" s="636"/>
      <c r="T799" s="634">
        <f ca="1">IF(ISERROR(VLOOKUP($D799,INDIRECT($Z$778&amp;"!$c$6:$G$215"),MATCH($Z$780,INDIRECT($Z$778&amp;"!$c$6:$Z$6"),0),0)),0,VLOOKUP($D799,INDIRECT($Z$778&amp;"!$c$6:$G$215"),MATCH($Z$780,INDIRECT($Z$778&amp;"!$c$6:$Z$6"),0),0))</f>
        <v>0</v>
      </c>
      <c r="U799" s="635"/>
      <c r="V799" s="636"/>
      <c r="W799" s="526"/>
      <c r="X799" s="526"/>
      <c r="Y799" s="526"/>
      <c r="Z799" s="511"/>
      <c r="AA799" s="511"/>
      <c r="AB799" s="511"/>
      <c r="AC799" s="511"/>
      <c r="AD799" s="511"/>
      <c r="AE799" s="511"/>
      <c r="AF799" s="511"/>
      <c r="AG799" s="511"/>
      <c r="AH799" s="511"/>
      <c r="AI799" s="511"/>
      <c r="AJ799" s="511"/>
      <c r="AK799" s="511"/>
      <c r="AL799" s="511"/>
      <c r="AM799" s="511"/>
      <c r="AN799" s="511"/>
      <c r="AO799" s="511"/>
      <c r="AP799" s="511"/>
      <c r="AQ799" s="511"/>
      <c r="AR799" s="511"/>
      <c r="AS799" s="511"/>
      <c r="AT799" s="511"/>
    </row>
    <row r="800" spans="2:46" s="510" customFormat="1" ht="24.95" customHeight="1" thickTop="1" thickBot="1" x14ac:dyDescent="0.2">
      <c r="B800" s="1598"/>
      <c r="C800" s="909" t="s">
        <v>714</v>
      </c>
      <c r="D800" s="532" t="s">
        <v>701</v>
      </c>
      <c r="E800" s="929" t="s">
        <v>1731</v>
      </c>
      <c r="F800" s="930"/>
      <c r="G800" s="930"/>
      <c r="H800" s="930"/>
      <c r="I800" s="930"/>
      <c r="J800" s="930"/>
      <c r="K800" s="930"/>
      <c r="L800" s="930"/>
      <c r="M800" s="931"/>
      <c r="N800" s="643">
        <f t="shared" ca="1" si="34"/>
        <v>0</v>
      </c>
      <c r="O800" s="644"/>
      <c r="P800" s="645"/>
      <c r="Q800" s="646">
        <f ca="1">IF(ISERROR(VLOOKUP($E800,INDIRECT($Z$778&amp;"!$D$6:$G$215"),MATCH($Z$779,INDIRECT($Z$778&amp;"!$D$6:$Z$6"),0),0)),0,VLOOKUP($E800,INDIRECT($Z$778&amp;"!$D$6:$G$215"),MATCH($Z$779,INDIRECT($Z$778&amp;"!$D$6:$Z$6"),0),0))</f>
        <v>0</v>
      </c>
      <c r="R800" s="647"/>
      <c r="S800" s="648"/>
      <c r="T800" s="646">
        <f ca="1">IF(ISERROR(VLOOKUP($E800,INDIRECT($Z$778&amp;"!$D$6:$G$215"),MATCH($Z$780,INDIRECT($Z$778&amp;"!$D$6:$Z$6"),0),0)),0,VLOOKUP($E800,INDIRECT($Z$778&amp;"!$D$6:$G$215"),MATCH($Z$780,INDIRECT($Z$778&amp;"!$D$6:$Z$6"),0),0))</f>
        <v>0</v>
      </c>
      <c r="U800" s="647"/>
      <c r="V800" s="648"/>
      <c r="W800" s="526"/>
      <c r="X800" s="526"/>
      <c r="Y800" s="526"/>
      <c r="Z800" s="511"/>
      <c r="AA800" s="511"/>
      <c r="AB800" s="511"/>
      <c r="AC800" s="511"/>
      <c r="AD800" s="511"/>
      <c r="AE800" s="511"/>
      <c r="AF800" s="511"/>
      <c r="AG800" s="511"/>
      <c r="AH800" s="511"/>
      <c r="AI800" s="511"/>
      <c r="AJ800" s="511"/>
      <c r="AK800" s="511"/>
      <c r="AL800" s="511"/>
      <c r="AM800" s="511"/>
      <c r="AN800" s="511"/>
      <c r="AO800" s="511"/>
      <c r="AP800" s="511"/>
      <c r="AQ800" s="511"/>
      <c r="AR800" s="511"/>
      <c r="AS800" s="511"/>
      <c r="AT800" s="511"/>
    </row>
    <row r="801" spans="2:46" s="510" customFormat="1" ht="24.95" customHeight="1" thickTop="1" x14ac:dyDescent="0.15">
      <c r="B801" s="1598"/>
      <c r="C801" s="909"/>
      <c r="D801" s="910" t="s">
        <v>702</v>
      </c>
      <c r="E801" s="932" t="s">
        <v>1737</v>
      </c>
      <c r="F801" s="933"/>
      <c r="G801" s="933"/>
      <c r="H801" s="933"/>
      <c r="I801" s="933"/>
      <c r="J801" s="933"/>
      <c r="K801" s="933"/>
      <c r="L801" s="933"/>
      <c r="M801" s="934"/>
      <c r="N801" s="649">
        <f t="shared" ca="1" si="34"/>
        <v>0</v>
      </c>
      <c r="O801" s="650"/>
      <c r="P801" s="651"/>
      <c r="Q801" s="652">
        <f ca="1">IF(ISERROR(VLOOKUP($E801,INDIRECT($Z$778&amp;"!$D$6:$G$215"),MATCH($Z$779,INDIRECT($Z$778&amp;"!$D$6:$Z$6"),0),0)),0,VLOOKUP($E801,INDIRECT($Z$778&amp;"!$D$6:$G$215"),MATCH($Z$779,INDIRECT($Z$778&amp;"!$D$6:$Z$6"),0),0))</f>
        <v>0</v>
      </c>
      <c r="R801" s="653"/>
      <c r="S801" s="654"/>
      <c r="T801" s="652">
        <f ca="1">IF(ISERROR(VLOOKUP($E801,INDIRECT($Z$778&amp;"!$D$6:$G$215"),MATCH($Z$780,INDIRECT($Z$778&amp;"!$D$6:$Z$6"),0),0)),0,VLOOKUP($E801,INDIRECT($Z$778&amp;"!$D$6:$G$215"),MATCH($Z$780,INDIRECT($Z$778&amp;"!$D$6:$Z$6"),0),0))</f>
        <v>0</v>
      </c>
      <c r="U801" s="653"/>
      <c r="V801" s="654"/>
      <c r="W801" s="526"/>
      <c r="X801" s="526"/>
      <c r="Y801" s="526"/>
      <c r="Z801" s="511"/>
      <c r="AA801" s="511"/>
      <c r="AB801" s="511"/>
      <c r="AC801" s="511"/>
      <c r="AD801" s="511"/>
      <c r="AE801" s="511"/>
      <c r="AF801" s="511"/>
      <c r="AG801" s="511"/>
      <c r="AH801" s="511"/>
      <c r="AI801" s="511"/>
      <c r="AJ801" s="511"/>
      <c r="AK801" s="511"/>
      <c r="AL801" s="511"/>
      <c r="AM801" s="511"/>
      <c r="AN801" s="511"/>
      <c r="AO801" s="511"/>
      <c r="AP801" s="511"/>
      <c r="AQ801" s="511"/>
      <c r="AR801" s="511"/>
      <c r="AS801" s="511"/>
      <c r="AT801" s="511"/>
    </row>
    <row r="802" spans="2:46" s="510" customFormat="1" ht="24.95" customHeight="1" thickBot="1" x14ac:dyDescent="0.2">
      <c r="B802" s="1598"/>
      <c r="C802" s="909"/>
      <c r="D802" s="911"/>
      <c r="E802" s="912" t="s">
        <v>1732</v>
      </c>
      <c r="F802" s="913"/>
      <c r="G802" s="913"/>
      <c r="H802" s="913"/>
      <c r="I802" s="913"/>
      <c r="J802" s="913"/>
      <c r="K802" s="913"/>
      <c r="L802" s="913"/>
      <c r="M802" s="914"/>
      <c r="N802" s="946">
        <f t="shared" ca="1" si="34"/>
        <v>0</v>
      </c>
      <c r="O802" s="947"/>
      <c r="P802" s="948"/>
      <c r="Q802" s="949">
        <f ca="1">IF(ISERROR(VLOOKUP($E802,INDIRECT($Z$778&amp;"!$D$6:$G$215"),MATCH($Z$779,INDIRECT($Z$778&amp;"!$D$6:$Z$6"),0),0)),0,VLOOKUP($E802,INDIRECT($Z$778&amp;"!$D$6:$G$215"),MATCH($Z$779,INDIRECT($Z$778&amp;"!$D$6:$Z$6"),0),0))</f>
        <v>0</v>
      </c>
      <c r="R802" s="950"/>
      <c r="S802" s="951"/>
      <c r="T802" s="949">
        <f ca="1">IF(ISERROR(VLOOKUP($E802,INDIRECT($Z$778&amp;"!$D$6:$G$215"),MATCH($Z$780,INDIRECT($Z$778&amp;"!$D$6:$Z$6"),0),0)),0,VLOOKUP($E802,INDIRECT($Z$778&amp;"!$D$6:$G$215"),MATCH($Z$780,INDIRECT($Z$778&amp;"!$D$6:$Z$6"),0),0))</f>
        <v>0</v>
      </c>
      <c r="U802" s="950"/>
      <c r="V802" s="951"/>
      <c r="W802" s="526"/>
      <c r="X802" s="526"/>
      <c r="Y802" s="526"/>
      <c r="Z802" s="511"/>
      <c r="AA802" s="511"/>
      <c r="AB802" s="511"/>
      <c r="AC802" s="511"/>
      <c r="AD802" s="511"/>
      <c r="AE802" s="511"/>
      <c r="AF802" s="511"/>
      <c r="AG802" s="511"/>
      <c r="AH802" s="511"/>
      <c r="AI802" s="511"/>
      <c r="AJ802" s="511"/>
      <c r="AK802" s="511"/>
      <c r="AL802" s="511"/>
      <c r="AM802" s="511"/>
      <c r="AN802" s="511"/>
      <c r="AO802" s="511"/>
      <c r="AP802" s="511"/>
      <c r="AQ802" s="511"/>
      <c r="AR802" s="511"/>
      <c r="AS802" s="511"/>
      <c r="AT802" s="511"/>
    </row>
    <row r="803" spans="2:46" s="510" customFormat="1" ht="24.95" customHeight="1" thickTop="1" thickBot="1" x14ac:dyDescent="0.2">
      <c r="B803" s="1598"/>
      <c r="C803" s="909"/>
      <c r="D803" s="894" t="s">
        <v>1733</v>
      </c>
      <c r="E803" s="895"/>
      <c r="F803" s="895"/>
      <c r="G803" s="895"/>
      <c r="H803" s="895"/>
      <c r="I803" s="895"/>
      <c r="J803" s="895"/>
      <c r="K803" s="895"/>
      <c r="L803" s="895"/>
      <c r="M803" s="896"/>
      <c r="N803" s="631">
        <f t="shared" ca="1" si="34"/>
        <v>0</v>
      </c>
      <c r="O803" s="632"/>
      <c r="P803" s="633"/>
      <c r="Q803" s="634">
        <f ca="1">IF(ISERROR(VLOOKUP($D803,INDIRECT($Z$778&amp;"!$c$6:$G$215"),MATCH($Z$779,INDIRECT($Z$778&amp;"!$c$6:$Z$6"),0),0)),0,VLOOKUP($D803,INDIRECT($Z$778&amp;"!$c$6:$G$215"),MATCH($Z$779,INDIRECT($Z$778&amp;"!$c$6:$Z$6"),0),0))</f>
        <v>0</v>
      </c>
      <c r="R803" s="635"/>
      <c r="S803" s="636"/>
      <c r="T803" s="634">
        <f ca="1">IF(ISERROR(VLOOKUP($D803,INDIRECT($Z$778&amp;"!$c$6:$G$215"),MATCH($Z$780,INDIRECT($Z$778&amp;"!$c$6:$Z$6"),0),0)),0,VLOOKUP($D803,INDIRECT($Z$778&amp;"!$c$6:$G$215"),MATCH($Z$780,INDIRECT($Z$778&amp;"!$c$6:$Z$6"),0),0))</f>
        <v>0</v>
      </c>
      <c r="U803" s="635"/>
      <c r="V803" s="636"/>
      <c r="W803" s="526"/>
      <c r="X803" s="526"/>
      <c r="Y803" s="526"/>
      <c r="Z803" s="511"/>
      <c r="AA803" s="511"/>
      <c r="AB803" s="511"/>
      <c r="AC803" s="511"/>
      <c r="AD803" s="511"/>
      <c r="AE803" s="511"/>
      <c r="AF803" s="511"/>
      <c r="AG803" s="511"/>
      <c r="AH803" s="511"/>
      <c r="AI803" s="511"/>
      <c r="AJ803" s="511"/>
      <c r="AK803" s="511"/>
      <c r="AL803" s="511"/>
      <c r="AM803" s="511"/>
      <c r="AN803" s="511"/>
      <c r="AO803" s="511"/>
      <c r="AP803" s="511"/>
      <c r="AQ803" s="511"/>
      <c r="AR803" s="511"/>
      <c r="AS803" s="511"/>
      <c r="AT803" s="511"/>
    </row>
    <row r="804" spans="2:46" s="510" customFormat="1" ht="24.95" customHeight="1" thickTop="1" thickBot="1" x14ac:dyDescent="0.2">
      <c r="B804" s="1598"/>
      <c r="C804" s="894" t="s">
        <v>1871</v>
      </c>
      <c r="D804" s="895"/>
      <c r="E804" s="895"/>
      <c r="F804" s="895"/>
      <c r="G804" s="895"/>
      <c r="H804" s="895"/>
      <c r="I804" s="895"/>
      <c r="J804" s="895"/>
      <c r="K804" s="895"/>
      <c r="L804" s="895"/>
      <c r="M804" s="896"/>
      <c r="N804" s="631">
        <f t="shared" ca="1" si="34"/>
        <v>0</v>
      </c>
      <c r="O804" s="632"/>
      <c r="P804" s="633"/>
      <c r="Q804" s="634">
        <f ca="1">IF(ISERROR(VLOOKUP($C804,INDIRECT($Z$778&amp;"!$b$6:$G$215"),MATCH($Z$779,INDIRECT($Z$778&amp;"!$b$6:$Z$6"),0),0)),0,VLOOKUP($C804,INDIRECT($Z$778&amp;"!$b$6:$G$215"),MATCH($Z$779,INDIRECT($Z$778&amp;"!$b$6:$Z$6"),0),0))</f>
        <v>0</v>
      </c>
      <c r="R804" s="635"/>
      <c r="S804" s="636"/>
      <c r="T804" s="634">
        <f ca="1">IF(ISERROR(VLOOKUP($C804,INDIRECT($Z$778&amp;"!$b$6:$G$215"),MATCH($Z$780,INDIRECT($Z$778&amp;"!$b$6:$Z$6"),0),0)),0,VLOOKUP($C804,INDIRECT($Z$778&amp;"!$b$6:$G$215"),MATCH($Z$780,INDIRECT($Z$778&amp;"!$b$6:$Z$6"),0),0))</f>
        <v>0</v>
      </c>
      <c r="U804" s="635"/>
      <c r="V804" s="636"/>
      <c r="W804" s="526"/>
      <c r="X804" s="526"/>
      <c r="Y804" s="526"/>
      <c r="Z804" s="511"/>
      <c r="AA804" s="511"/>
      <c r="AB804" s="511"/>
      <c r="AC804" s="511"/>
      <c r="AD804" s="511"/>
      <c r="AE804" s="511"/>
      <c r="AF804" s="511"/>
      <c r="AG804" s="511"/>
      <c r="AH804" s="511"/>
      <c r="AI804" s="511"/>
      <c r="AJ804" s="511"/>
      <c r="AK804" s="511"/>
      <c r="AL804" s="511"/>
      <c r="AM804" s="511"/>
      <c r="AN804" s="511"/>
      <c r="AO804" s="511"/>
      <c r="AP804" s="511"/>
      <c r="AQ804" s="511"/>
      <c r="AR804" s="511"/>
      <c r="AS804" s="511"/>
      <c r="AT804" s="511"/>
    </row>
    <row r="805" spans="2:46" s="510" customFormat="1" ht="24.95" customHeight="1" thickTop="1" thickBot="1" x14ac:dyDescent="0.2">
      <c r="B805" s="1598"/>
      <c r="C805" s="894" t="s">
        <v>1872</v>
      </c>
      <c r="D805" s="895"/>
      <c r="E805" s="895"/>
      <c r="F805" s="895"/>
      <c r="G805" s="895"/>
      <c r="H805" s="895"/>
      <c r="I805" s="895"/>
      <c r="J805" s="895"/>
      <c r="K805" s="895"/>
      <c r="L805" s="895"/>
      <c r="M805" s="896"/>
      <c r="N805" s="631">
        <f t="shared" ca="1" si="34"/>
        <v>0</v>
      </c>
      <c r="O805" s="632"/>
      <c r="P805" s="633"/>
      <c r="Q805" s="634">
        <f ca="1">IF(ISERROR(VLOOKUP($C805,INDIRECT($Z$778&amp;"!$b$6:$G$215"),MATCH($Z$779,INDIRECT($Z$778&amp;"!$b$6:$Z$6"),0),0)),0,VLOOKUP($C805,INDIRECT($Z$778&amp;"!$b$6:$G$215"),MATCH($Z$779,INDIRECT($Z$778&amp;"!$b$6:$Z$6"),0),0))</f>
        <v>0</v>
      </c>
      <c r="R805" s="635"/>
      <c r="S805" s="636"/>
      <c r="T805" s="634">
        <f ca="1">IF(ISERROR(VLOOKUP($C805,INDIRECT($Z$778&amp;"!$b$6:$G$215"),MATCH($Z$780,INDIRECT($Z$778&amp;"!$b$6:$Z$6"),0),0)),0,VLOOKUP($C805,INDIRECT($Z$778&amp;"!$b$6:$G$215"),MATCH($Z$780,INDIRECT($Z$778&amp;"!$b$6:$Z$6"),0),0))</f>
        <v>0</v>
      </c>
      <c r="U805" s="635"/>
      <c r="V805" s="636"/>
      <c r="W805" s="526"/>
      <c r="X805" s="526"/>
      <c r="Y805" s="526"/>
      <c r="Z805" s="511"/>
      <c r="AA805" s="511"/>
      <c r="AB805" s="511"/>
      <c r="AC805" s="511"/>
      <c r="AD805" s="511"/>
      <c r="AE805" s="511"/>
      <c r="AF805" s="511"/>
      <c r="AG805" s="511"/>
      <c r="AH805" s="511"/>
      <c r="AI805" s="511"/>
      <c r="AJ805" s="511"/>
      <c r="AK805" s="511"/>
      <c r="AL805" s="511"/>
      <c r="AM805" s="511"/>
      <c r="AN805" s="511"/>
      <c r="AO805" s="511"/>
      <c r="AP805" s="511"/>
      <c r="AQ805" s="511"/>
      <c r="AR805" s="511"/>
      <c r="AS805" s="511"/>
      <c r="AT805" s="511"/>
    </row>
    <row r="806" spans="2:46" s="510" customFormat="1" ht="24.95" customHeight="1" thickTop="1" x14ac:dyDescent="0.15">
      <c r="B806" s="1599"/>
      <c r="C806" s="1594" t="s">
        <v>1873</v>
      </c>
      <c r="D806" s="1595"/>
      <c r="E806" s="1595"/>
      <c r="F806" s="1595"/>
      <c r="G806" s="1595"/>
      <c r="H806" s="1595"/>
      <c r="I806" s="1595"/>
      <c r="J806" s="1595"/>
      <c r="K806" s="1595"/>
      <c r="L806" s="1595"/>
      <c r="M806" s="1596"/>
      <c r="N806" s="637">
        <f t="shared" ca="1" si="34"/>
        <v>0</v>
      </c>
      <c r="O806" s="638"/>
      <c r="P806" s="639"/>
      <c r="Q806" s="640">
        <f ca="1">IF(ISERROR(VLOOKUP($C806,INDIRECT($Z$778&amp;"!$b$6:$G$215"),MATCH($Z$779,INDIRECT($Z$778&amp;"!$b$6:$Z$6"),0),0)),0,VLOOKUP($C806,INDIRECT($Z$778&amp;"!$b$6:$G$215"),MATCH($Z$779,INDIRECT($Z$778&amp;"!$b$6:$Z$6"),0),0))</f>
        <v>0</v>
      </c>
      <c r="R806" s="641"/>
      <c r="S806" s="642"/>
      <c r="T806" s="640">
        <f ca="1">IF(ISERROR(VLOOKUP($C806,INDIRECT($Z$778&amp;"!$b$6:$G$215"),MATCH($Z$780,INDIRECT($Z$778&amp;"!$b$6:$Z$6"),0),0)),0,VLOOKUP($C806,INDIRECT($Z$778&amp;"!$b$6:$G$215"),MATCH($Z$780,INDIRECT($Z$778&amp;"!$b$6:$Z$6"),0),0))</f>
        <v>0</v>
      </c>
      <c r="U806" s="641"/>
      <c r="V806" s="642"/>
      <c r="W806" s="526"/>
      <c r="X806" s="526"/>
      <c r="Y806" s="526"/>
      <c r="Z806" s="511"/>
      <c r="AA806" s="511"/>
      <c r="AB806" s="511"/>
      <c r="AC806" s="511"/>
      <c r="AD806" s="511"/>
      <c r="AE806" s="511"/>
      <c r="AF806" s="511"/>
      <c r="AG806" s="511"/>
      <c r="AH806" s="511"/>
      <c r="AI806" s="511"/>
      <c r="AJ806" s="511"/>
      <c r="AK806" s="511"/>
      <c r="AL806" s="511"/>
      <c r="AM806" s="511"/>
      <c r="AN806" s="511"/>
      <c r="AO806" s="511"/>
      <c r="AP806" s="511"/>
      <c r="AQ806" s="511"/>
      <c r="AR806" s="511"/>
      <c r="AS806" s="511"/>
      <c r="AT806" s="511"/>
    </row>
  </sheetData>
  <sheetProtection algorithmName="SHA-512" hashValue="3AtSC34EFg/kjpyP4RKmFREcz3Dqdt+lsmHuHv5xYEN0/lS+m4iO1IRpP7dvBlc9ccb5zfKputI3Yvw0at2NnQ==" saltValue="/KJobWsyaC6hZCe0ac1Mdw==" spinCount="100000" sheet="1" objects="1" scenarios="1"/>
  <dataConsolidate/>
  <mergeCells count="2103">
    <mergeCell ref="B146:G146"/>
    <mergeCell ref="Q145:S145"/>
    <mergeCell ref="N145:P145"/>
    <mergeCell ref="K145:M145"/>
    <mergeCell ref="B143:U143"/>
    <mergeCell ref="P346:Q346"/>
    <mergeCell ref="M296:N296"/>
    <mergeCell ref="I162:P162"/>
    <mergeCell ref="B166:H166"/>
    <mergeCell ref="A278:G278"/>
    <mergeCell ref="Q231:S231"/>
    <mergeCell ref="G313:L313"/>
    <mergeCell ref="A293:F293"/>
    <mergeCell ref="F346:G346"/>
    <mergeCell ref="H346:I346"/>
    <mergeCell ref="C343:E343"/>
    <mergeCell ref="C344:E344"/>
    <mergeCell ref="J346:K346"/>
    <mergeCell ref="L346:M346"/>
    <mergeCell ref="N346:O346"/>
    <mergeCell ref="N314:P314"/>
    <mergeCell ref="N313:P313"/>
    <mergeCell ref="I298:J298"/>
    <mergeCell ref="A296:F296"/>
    <mergeCell ref="A295:F295"/>
    <mergeCell ref="G316:L316"/>
    <mergeCell ref="I181:P181"/>
    <mergeCell ref="A149:N149"/>
    <mergeCell ref="I167:P167"/>
    <mergeCell ref="B179:H179"/>
    <mergeCell ref="I182:P182"/>
    <mergeCell ref="Q184:S184"/>
    <mergeCell ref="R102:S102"/>
    <mergeCell ref="P102:Q102"/>
    <mergeCell ref="L104:N104"/>
    <mergeCell ref="B104:K104"/>
    <mergeCell ref="B103:K103"/>
    <mergeCell ref="B102:K102"/>
    <mergeCell ref="B101:K101"/>
    <mergeCell ref="B100:K100"/>
    <mergeCell ref="B99:K99"/>
    <mergeCell ref="T102:U102"/>
    <mergeCell ref="P99:U99"/>
    <mergeCell ref="P100:U101"/>
    <mergeCell ref="P103:U104"/>
    <mergeCell ref="C273:F273"/>
    <mergeCell ref="G273:N273"/>
    <mergeCell ref="B258:G258"/>
    <mergeCell ref="H258:Q258"/>
    <mergeCell ref="B261:B273"/>
    <mergeCell ref="F220:I220"/>
    <mergeCell ref="J220:Q220"/>
    <mergeCell ref="B189:H189"/>
    <mergeCell ref="I189:P189"/>
    <mergeCell ref="B190:H190"/>
    <mergeCell ref="I190:P190"/>
    <mergeCell ref="B191:H191"/>
    <mergeCell ref="I191:P191"/>
    <mergeCell ref="B192:H192"/>
    <mergeCell ref="I192:P192"/>
    <mergeCell ref="Q169:S169"/>
    <mergeCell ref="B170:H170"/>
    <mergeCell ref="B175:H175"/>
    <mergeCell ref="A142:J142"/>
    <mergeCell ref="T1:V2"/>
    <mergeCell ref="B219:E220"/>
    <mergeCell ref="F212:P212"/>
    <mergeCell ref="F211:P211"/>
    <mergeCell ref="F202:K202"/>
    <mergeCell ref="L202:S202"/>
    <mergeCell ref="F200:K200"/>
    <mergeCell ref="B200:E202"/>
    <mergeCell ref="I218:P218"/>
    <mergeCell ref="I217:P217"/>
    <mergeCell ref="I216:P216"/>
    <mergeCell ref="I215:P215"/>
    <mergeCell ref="I214:P214"/>
    <mergeCell ref="I213:P213"/>
    <mergeCell ref="B211:E218"/>
    <mergeCell ref="A195:L195"/>
    <mergeCell ref="A249:G249"/>
    <mergeCell ref="C208:F208"/>
    <mergeCell ref="G208:S208"/>
    <mergeCell ref="C207:R207"/>
    <mergeCell ref="C206:R206"/>
    <mergeCell ref="C205:R205"/>
    <mergeCell ref="B205:B208"/>
    <mergeCell ref="B196:U196"/>
    <mergeCell ref="L197:Q197"/>
    <mergeCell ref="I185:P185"/>
    <mergeCell ref="B186:H186"/>
    <mergeCell ref="I186:P186"/>
    <mergeCell ref="B187:H187"/>
    <mergeCell ref="I187:P187"/>
    <mergeCell ref="B188:H188"/>
    <mergeCell ref="I188:P188"/>
    <mergeCell ref="C805:M805"/>
    <mergeCell ref="C806:M806"/>
    <mergeCell ref="B778:B806"/>
    <mergeCell ref="B775:V775"/>
    <mergeCell ref="B776:V776"/>
    <mergeCell ref="D797:D798"/>
    <mergeCell ref="E798:M798"/>
    <mergeCell ref="D799:M799"/>
    <mergeCell ref="R726:T726"/>
    <mergeCell ref="C727:K727"/>
    <mergeCell ref="L727:N727"/>
    <mergeCell ref="O727:Q727"/>
    <mergeCell ref="R727:T727"/>
    <mergeCell ref="A729:I729"/>
    <mergeCell ref="B731:V731"/>
    <mergeCell ref="B732:T732"/>
    <mergeCell ref="B733:B772"/>
    <mergeCell ref="C733:K733"/>
    <mergeCell ref="C735:K735"/>
    <mergeCell ref="L735:T735"/>
    <mergeCell ref="A774:J774"/>
    <mergeCell ref="U722:V727"/>
    <mergeCell ref="O725:Q725"/>
    <mergeCell ref="R725:T725"/>
    <mergeCell ref="D726:K726"/>
    <mergeCell ref="L726:N726"/>
    <mergeCell ref="L733:T733"/>
    <mergeCell ref="C734:K734"/>
    <mergeCell ref="L734:T734"/>
    <mergeCell ref="E722:K722"/>
    <mergeCell ref="L722:N722"/>
    <mergeCell ref="O722:Q722"/>
    <mergeCell ref="R722:T722"/>
    <mergeCell ref="E723:K723"/>
    <mergeCell ref="L723:N723"/>
    <mergeCell ref="O723:Q723"/>
    <mergeCell ref="R723:T723"/>
    <mergeCell ref="E724:K724"/>
    <mergeCell ref="L724:N724"/>
    <mergeCell ref="O724:Q724"/>
    <mergeCell ref="R724:T724"/>
    <mergeCell ref="E725:K725"/>
    <mergeCell ref="L725:N725"/>
    <mergeCell ref="O726:Q726"/>
    <mergeCell ref="L749:T749"/>
    <mergeCell ref="C742:K742"/>
    <mergeCell ref="L742:T742"/>
    <mergeCell ref="C741:K741"/>
    <mergeCell ref="C765:K765"/>
    <mergeCell ref="L765:T765"/>
    <mergeCell ref="C748:K748"/>
    <mergeCell ref="L740:T740"/>
    <mergeCell ref="C740:K740"/>
    <mergeCell ref="C739:K739"/>
    <mergeCell ref="C759:K759"/>
    <mergeCell ref="L759:T759"/>
    <mergeCell ref="L738:T738"/>
    <mergeCell ref="C747:K747"/>
    <mergeCell ref="C746:K746"/>
    <mergeCell ref="C745:K745"/>
    <mergeCell ref="C744:K744"/>
    <mergeCell ref="L744:T744"/>
    <mergeCell ref="L745:T745"/>
    <mergeCell ref="C755:K755"/>
    <mergeCell ref="E719:K719"/>
    <mergeCell ref="L719:N719"/>
    <mergeCell ref="O719:Q719"/>
    <mergeCell ref="R719:T719"/>
    <mergeCell ref="E720:K720"/>
    <mergeCell ref="L720:N720"/>
    <mergeCell ref="O720:Q720"/>
    <mergeCell ref="R720:T720"/>
    <mergeCell ref="D721:K721"/>
    <mergeCell ref="L721:N721"/>
    <mergeCell ref="O721:Q721"/>
    <mergeCell ref="R721:T721"/>
    <mergeCell ref="B730:V730"/>
    <mergeCell ref="D724:D725"/>
    <mergeCell ref="D707:D720"/>
    <mergeCell ref="U710:V710"/>
    <mergeCell ref="U711:V711"/>
    <mergeCell ref="U712:V712"/>
    <mergeCell ref="U713:V713"/>
    <mergeCell ref="U716:V716"/>
    <mergeCell ref="U717:V717"/>
    <mergeCell ref="U718:V718"/>
    <mergeCell ref="U719:V720"/>
    <mergeCell ref="U721:V721"/>
    <mergeCell ref="U715:V715"/>
    <mergeCell ref="C687:C721"/>
    <mergeCell ref="D687:D706"/>
    <mergeCell ref="U707:V707"/>
    <mergeCell ref="E714:K714"/>
    <mergeCell ref="L714:N714"/>
    <mergeCell ref="O714:Q714"/>
    <mergeCell ref="R714:T714"/>
    <mergeCell ref="E715:K715"/>
    <mergeCell ref="L715:N715"/>
    <mergeCell ref="O715:Q715"/>
    <mergeCell ref="R715:T715"/>
    <mergeCell ref="E716:K716"/>
    <mergeCell ref="L716:N716"/>
    <mergeCell ref="O716:Q716"/>
    <mergeCell ref="R716:T716"/>
    <mergeCell ref="E717:K717"/>
    <mergeCell ref="L717:N717"/>
    <mergeCell ref="O717:Q717"/>
    <mergeCell ref="R717:T717"/>
    <mergeCell ref="E718:K718"/>
    <mergeCell ref="L718:N718"/>
    <mergeCell ref="O718:Q718"/>
    <mergeCell ref="R718:T718"/>
    <mergeCell ref="E709:K709"/>
    <mergeCell ref="L709:N709"/>
    <mergeCell ref="O709:Q709"/>
    <mergeCell ref="R709:T709"/>
    <mergeCell ref="E710:K710"/>
    <mergeCell ref="L710:N710"/>
    <mergeCell ref="O710:Q710"/>
    <mergeCell ref="R710:T710"/>
    <mergeCell ref="E711:K711"/>
    <mergeCell ref="E713:K713"/>
    <mergeCell ref="L713:N713"/>
    <mergeCell ref="O713:Q713"/>
    <mergeCell ref="R713:T713"/>
    <mergeCell ref="R703:T703"/>
    <mergeCell ref="L711:N711"/>
    <mergeCell ref="O711:Q711"/>
    <mergeCell ref="R711:T711"/>
    <mergeCell ref="E712:K712"/>
    <mergeCell ref="L712:N712"/>
    <mergeCell ref="O712:Q712"/>
    <mergeCell ref="R712:T712"/>
    <mergeCell ref="E704:K704"/>
    <mergeCell ref="L704:N704"/>
    <mergeCell ref="O704:Q704"/>
    <mergeCell ref="R704:T704"/>
    <mergeCell ref="E705:K705"/>
    <mergeCell ref="L705:N705"/>
    <mergeCell ref="O705:Q705"/>
    <mergeCell ref="R705:T705"/>
    <mergeCell ref="E706:K706"/>
    <mergeCell ref="L706:N706"/>
    <mergeCell ref="O706:Q706"/>
    <mergeCell ref="R706:T706"/>
    <mergeCell ref="E707:K707"/>
    <mergeCell ref="L707:N707"/>
    <mergeCell ref="O707:Q707"/>
    <mergeCell ref="R707:T707"/>
    <mergeCell ref="E708:K708"/>
    <mergeCell ref="L708:N708"/>
    <mergeCell ref="O708:Q708"/>
    <mergeCell ref="R708:T708"/>
    <mergeCell ref="C20:T20"/>
    <mergeCell ref="AI393:AJ393"/>
    <mergeCell ref="AK393:AL393"/>
    <mergeCell ref="AM393:AN393"/>
    <mergeCell ref="Y385:AA386"/>
    <mergeCell ref="AB385:AG385"/>
    <mergeCell ref="T69:U69"/>
    <mergeCell ref="R69:S69"/>
    <mergeCell ref="I69:J69"/>
    <mergeCell ref="G69:H69"/>
    <mergeCell ref="D69:E69"/>
    <mergeCell ref="B69:C69"/>
    <mergeCell ref="Q154:S154"/>
    <mergeCell ref="R226:T226"/>
    <mergeCell ref="G25:P25"/>
    <mergeCell ref="D33:T34"/>
    <mergeCell ref="C29:T29"/>
    <mergeCell ref="A298:F298"/>
    <mergeCell ref="A231:A232"/>
    <mergeCell ref="A364:I364"/>
    <mergeCell ref="A95:F95"/>
    <mergeCell ref="I113:J113"/>
    <mergeCell ref="I178:P178"/>
    <mergeCell ref="C271:M271"/>
    <mergeCell ref="C272:M272"/>
    <mergeCell ref="I180:P180"/>
    <mergeCell ref="Z349:AB349"/>
    <mergeCell ref="Z350:AB350"/>
    <mergeCell ref="AG354:AH354"/>
    <mergeCell ref="AI354:AJ354"/>
    <mergeCell ref="AK354:AL354"/>
    <mergeCell ref="AM354:AN354"/>
    <mergeCell ref="AC401:AD401"/>
    <mergeCell ref="AE401:AF401"/>
    <mergeCell ref="AG401:AH401"/>
    <mergeCell ref="AI401:AJ401"/>
    <mergeCell ref="AK401:AL401"/>
    <mergeCell ref="AM401:AN401"/>
    <mergeCell ref="AO401:AP401"/>
    <mergeCell ref="AQ401:AR401"/>
    <mergeCell ref="Z402:AB402"/>
    <mergeCell ref="Z403:AB403"/>
    <mergeCell ref="Z404:AB404"/>
    <mergeCell ref="Z405:AB405"/>
    <mergeCell ref="Z406:AB406"/>
    <mergeCell ref="Z407:AB407"/>
    <mergeCell ref="Z408:AB408"/>
    <mergeCell ref="Y393:Y400"/>
    <mergeCell ref="Z393:AB393"/>
    <mergeCell ref="AC393:AD393"/>
    <mergeCell ref="AE393:AF393"/>
    <mergeCell ref="AG393:AH393"/>
    <mergeCell ref="AO393:AP393"/>
    <mergeCell ref="AO354:AP354"/>
    <mergeCell ref="AQ354:AR354"/>
    <mergeCell ref="Z355:AB355"/>
    <mergeCell ref="Z356:AB356"/>
    <mergeCell ref="Z357:AB357"/>
    <mergeCell ref="Z358:AB358"/>
    <mergeCell ref="Z359:AB359"/>
    <mergeCell ref="Z360:AB360"/>
    <mergeCell ref="Z361:AB361"/>
    <mergeCell ref="Y346:Y353"/>
    <mergeCell ref="Z346:AB346"/>
    <mergeCell ref="AC346:AD346"/>
    <mergeCell ref="AE346:AF346"/>
    <mergeCell ref="AG346:AH346"/>
    <mergeCell ref="AI346:AJ346"/>
    <mergeCell ref="AK346:AL346"/>
    <mergeCell ref="AM346:AN346"/>
    <mergeCell ref="AO346:AP346"/>
    <mergeCell ref="AQ346:AR346"/>
    <mergeCell ref="Z348:AB348"/>
    <mergeCell ref="AQ329:AR329"/>
    <mergeCell ref="Z330:AB330"/>
    <mergeCell ref="Z331:AB331"/>
    <mergeCell ref="Z332:AB332"/>
    <mergeCell ref="Z333:AB333"/>
    <mergeCell ref="Z334:AB334"/>
    <mergeCell ref="Z335:AB335"/>
    <mergeCell ref="Z336:AB336"/>
    <mergeCell ref="Y337:Y344"/>
    <mergeCell ref="Z337:AB337"/>
    <mergeCell ref="AC337:AD337"/>
    <mergeCell ref="AE337:AF337"/>
    <mergeCell ref="AG337:AH337"/>
    <mergeCell ref="AI337:AJ337"/>
    <mergeCell ref="AK337:AL337"/>
    <mergeCell ref="AM337:AN337"/>
    <mergeCell ref="AO337:AP337"/>
    <mergeCell ref="AQ337:AR337"/>
    <mergeCell ref="Z338:AB338"/>
    <mergeCell ref="Z339:AB339"/>
    <mergeCell ref="Z340:AB340"/>
    <mergeCell ref="Z341:AB341"/>
    <mergeCell ref="Z342:AB342"/>
    <mergeCell ref="AM329:AN329"/>
    <mergeCell ref="AO329:AP329"/>
    <mergeCell ref="Z343:AB343"/>
    <mergeCell ref="Z344:AB344"/>
    <mergeCell ref="AI329:AJ329"/>
    <mergeCell ref="AK329:AL329"/>
    <mergeCell ref="X375:AF375"/>
    <mergeCell ref="Y378:AR379"/>
    <mergeCell ref="Y380:AR381"/>
    <mergeCell ref="AB386:AD386"/>
    <mergeCell ref="AE386:AG386"/>
    <mergeCell ref="AH386:AJ386"/>
    <mergeCell ref="AK386:AM386"/>
    <mergeCell ref="Y387:AA387"/>
    <mergeCell ref="B389:D389"/>
    <mergeCell ref="AH388:AI388"/>
    <mergeCell ref="AK388:AL388"/>
    <mergeCell ref="C407:E407"/>
    <mergeCell ref="H387:I387"/>
    <mergeCell ref="E411:G411"/>
    <mergeCell ref="H411:J411"/>
    <mergeCell ref="B418:D418"/>
    <mergeCell ref="E413:F413"/>
    <mergeCell ref="N414:O414"/>
    <mergeCell ref="H418:I418"/>
    <mergeCell ref="N418:O418"/>
    <mergeCell ref="K413:L413"/>
    <mergeCell ref="AQ393:AR393"/>
    <mergeCell ref="Z394:AB394"/>
    <mergeCell ref="Z395:AB395"/>
    <mergeCell ref="Z396:AB396"/>
    <mergeCell ref="Z397:AB397"/>
    <mergeCell ref="Z398:AB398"/>
    <mergeCell ref="Z399:AB399"/>
    <mergeCell ref="Z400:AB400"/>
    <mergeCell ref="Y401:Y408"/>
    <mergeCell ref="Z401:AB401"/>
    <mergeCell ref="AK387:AL387"/>
    <mergeCell ref="S629:U629"/>
    <mergeCell ref="X326:AH326"/>
    <mergeCell ref="X329:X344"/>
    <mergeCell ref="Y329:Y336"/>
    <mergeCell ref="Z329:AB329"/>
    <mergeCell ref="AC329:AD329"/>
    <mergeCell ref="AE329:AF329"/>
    <mergeCell ref="AG329:AH329"/>
    <mergeCell ref="AB387:AC387"/>
    <mergeCell ref="AE387:AF387"/>
    <mergeCell ref="AH387:AI387"/>
    <mergeCell ref="N591:P591"/>
    <mergeCell ref="S551:U551"/>
    <mergeCell ref="S552:U552"/>
    <mergeCell ref="B453:V453"/>
    <mergeCell ref="S492:V492"/>
    <mergeCell ref="S548:U548"/>
    <mergeCell ref="E608:G608"/>
    <mergeCell ref="J597:Q597"/>
    <mergeCell ref="AH385:AM385"/>
    <mergeCell ref="A369:N369"/>
    <mergeCell ref="B371:J371"/>
    <mergeCell ref="B373:C373"/>
    <mergeCell ref="I427:K427"/>
    <mergeCell ref="I426:K426"/>
    <mergeCell ref="Z351:AB351"/>
    <mergeCell ref="Z352:AB352"/>
    <mergeCell ref="Z353:AB353"/>
    <mergeCell ref="Y354:Y361"/>
    <mergeCell ref="Z354:AB354"/>
    <mergeCell ref="AC354:AD354"/>
    <mergeCell ref="AE354:AF354"/>
    <mergeCell ref="Y388:AA388"/>
    <mergeCell ref="AB388:AC388"/>
    <mergeCell ref="AE388:AF388"/>
    <mergeCell ref="N401:O401"/>
    <mergeCell ref="S614:U614"/>
    <mergeCell ref="S615:V615"/>
    <mergeCell ref="S616:U616"/>
    <mergeCell ref="S617:U617"/>
    <mergeCell ref="X346:X361"/>
    <mergeCell ref="Z347:AB347"/>
    <mergeCell ref="S516:V516"/>
    <mergeCell ref="S517:U517"/>
    <mergeCell ref="Q180:S180"/>
    <mergeCell ref="Q179:S179"/>
    <mergeCell ref="Q183:S183"/>
    <mergeCell ref="C255:T255"/>
    <mergeCell ref="C256:T256"/>
    <mergeCell ref="C261:M261"/>
    <mergeCell ref="C262:M262"/>
    <mergeCell ref="C263:M263"/>
    <mergeCell ref="C264:M264"/>
    <mergeCell ref="C265:M265"/>
    <mergeCell ref="C266:M266"/>
    <mergeCell ref="C267:M267"/>
    <mergeCell ref="G312:L312"/>
    <mergeCell ref="B378:U379"/>
    <mergeCell ref="C312:F312"/>
    <mergeCell ref="C341:E341"/>
    <mergeCell ref="R346:S346"/>
    <mergeCell ref="B316:F316"/>
    <mergeCell ref="B311:F311"/>
    <mergeCell ref="C233:U233"/>
    <mergeCell ref="K415:L415"/>
    <mergeCell ref="B416:D416"/>
    <mergeCell ref="C337:E337"/>
    <mergeCell ref="A329:A344"/>
    <mergeCell ref="C342:E342"/>
    <mergeCell ref="P337:Q337"/>
    <mergeCell ref="C359:E359"/>
    <mergeCell ref="C360:E360"/>
    <mergeCell ref="L201:Q201"/>
    <mergeCell ref="D366:G366"/>
    <mergeCell ref="L366:O366"/>
    <mergeCell ref="H366:K366"/>
    <mergeCell ref="P366:S366"/>
    <mergeCell ref="B380:U381"/>
    <mergeCell ref="H390:I390"/>
    <mergeCell ref="K390:L390"/>
    <mergeCell ref="K291:L291"/>
    <mergeCell ref="C340:E340"/>
    <mergeCell ref="L337:M337"/>
    <mergeCell ref="U292:V292"/>
    <mergeCell ref="U289:V291"/>
    <mergeCell ref="A291:F291"/>
    <mergeCell ref="K411:M411"/>
    <mergeCell ref="H413:I413"/>
    <mergeCell ref="E412:F412"/>
    <mergeCell ref="C406:E406"/>
    <mergeCell ref="K387:L387"/>
    <mergeCell ref="N387:O387"/>
    <mergeCell ref="C404:E404"/>
    <mergeCell ref="H401:I401"/>
    <mergeCell ref="E387:F387"/>
    <mergeCell ref="B387:D387"/>
    <mergeCell ref="I425:L425"/>
    <mergeCell ref="Q425:T425"/>
    <mergeCell ref="Q426:S426"/>
    <mergeCell ref="Q427:S427"/>
    <mergeCell ref="L200:Q200"/>
    <mergeCell ref="F201:K201"/>
    <mergeCell ref="G311:L311"/>
    <mergeCell ref="K296:L296"/>
    <mergeCell ref="I291:J291"/>
    <mergeCell ref="I294:J294"/>
    <mergeCell ref="I293:J293"/>
    <mergeCell ref="I297:J297"/>
    <mergeCell ref="M294:N294"/>
    <mergeCell ref="G297:H297"/>
    <mergeCell ref="C336:E336"/>
    <mergeCell ref="N312:P312"/>
    <mergeCell ref="P401:Q401"/>
    <mergeCell ref="P367:S367"/>
    <mergeCell ref="L367:O367"/>
    <mergeCell ref="H367:K367"/>
    <mergeCell ref="D367:G367"/>
    <mergeCell ref="T367:V367"/>
    <mergeCell ref="T366:V366"/>
    <mergeCell ref="N316:P316"/>
    <mergeCell ref="B226:Q226"/>
    <mergeCell ref="A238:H238"/>
    <mergeCell ref="B241:B245"/>
    <mergeCell ref="C241:P241"/>
    <mergeCell ref="C242:Q242"/>
    <mergeCell ref="G296:H296"/>
    <mergeCell ref="C313:F313"/>
    <mergeCell ref="E386:G386"/>
    <mergeCell ref="S554:U554"/>
    <mergeCell ref="F526:H526"/>
    <mergeCell ref="E495:G495"/>
    <mergeCell ref="E537:H537"/>
    <mergeCell ref="J552:M552"/>
    <mergeCell ref="A507:D507"/>
    <mergeCell ref="N616:P616"/>
    <mergeCell ref="S568:U568"/>
    <mergeCell ref="S569:U569"/>
    <mergeCell ref="G314:L314"/>
    <mergeCell ref="K293:L293"/>
    <mergeCell ref="R337:S337"/>
    <mergeCell ref="C338:E338"/>
    <mergeCell ref="N311:Q311"/>
    <mergeCell ref="G298:H298"/>
    <mergeCell ref="T329:U329"/>
    <mergeCell ref="R329:S329"/>
    <mergeCell ref="R293:S293"/>
    <mergeCell ref="R297:S297"/>
    <mergeCell ref="R296:S296"/>
    <mergeCell ref="R298:S298"/>
    <mergeCell ref="P298:Q298"/>
    <mergeCell ref="N329:O329"/>
    <mergeCell ref="M298:N298"/>
    <mergeCell ref="I295:J295"/>
    <mergeCell ref="F393:G393"/>
    <mergeCell ref="H393:I393"/>
    <mergeCell ref="J393:K393"/>
    <mergeCell ref="C339:E339"/>
    <mergeCell ref="C330:E330"/>
    <mergeCell ref="C351:E351"/>
    <mergeCell ref="C352:E352"/>
    <mergeCell ref="S514:V514"/>
    <mergeCell ref="S515:U515"/>
    <mergeCell ref="S578:U578"/>
    <mergeCell ref="S584:V584"/>
    <mergeCell ref="S585:U585"/>
    <mergeCell ref="S586:U586"/>
    <mergeCell ref="S587:U587"/>
    <mergeCell ref="S588:U588"/>
    <mergeCell ref="S570:U570"/>
    <mergeCell ref="S628:V628"/>
    <mergeCell ref="S487:V487"/>
    <mergeCell ref="I470:J470"/>
    <mergeCell ref="N593:P593"/>
    <mergeCell ref="S623:V623"/>
    <mergeCell ref="S624:U624"/>
    <mergeCell ref="S625:U625"/>
    <mergeCell ref="S626:U626"/>
    <mergeCell ref="S627:U627"/>
    <mergeCell ref="S596:U596"/>
    <mergeCell ref="S592:U592"/>
    <mergeCell ref="S575:U575"/>
    <mergeCell ref="S576:V576"/>
    <mergeCell ref="S577:U577"/>
    <mergeCell ref="S574:V574"/>
    <mergeCell ref="S573:U573"/>
    <mergeCell ref="S571:V571"/>
    <mergeCell ref="B599:U600"/>
    <mergeCell ref="J570:M570"/>
    <mergeCell ref="N570:P570"/>
    <mergeCell ref="R623:R636"/>
    <mergeCell ref="S611:U611"/>
    <mergeCell ref="S612:U612"/>
    <mergeCell ref="H41:V41"/>
    <mergeCell ref="R295:S295"/>
    <mergeCell ref="R294:S294"/>
    <mergeCell ref="O5:R5"/>
    <mergeCell ref="L4:N4"/>
    <mergeCell ref="C31:S31"/>
    <mergeCell ref="L67:O67"/>
    <mergeCell ref="L68:N68"/>
    <mergeCell ref="G68:I68"/>
    <mergeCell ref="A44:C44"/>
    <mergeCell ref="A43:C43"/>
    <mergeCell ref="A41:C41"/>
    <mergeCell ref="G67:J67"/>
    <mergeCell ref="Q429:S429"/>
    <mergeCell ref="M290:N291"/>
    <mergeCell ref="I431:K431"/>
    <mergeCell ref="R401:S401"/>
    <mergeCell ref="Q430:S430"/>
    <mergeCell ref="Q155:S155"/>
    <mergeCell ref="P125:R125"/>
    <mergeCell ref="B169:H169"/>
    <mergeCell ref="N354:O354"/>
    <mergeCell ref="N393:O393"/>
    <mergeCell ref="P393:Q393"/>
    <mergeCell ref="R390:U390"/>
    <mergeCell ref="N390:O390"/>
    <mergeCell ref="N386:P386"/>
    <mergeCell ref="E388:F388"/>
    <mergeCell ref="C353:E353"/>
    <mergeCell ref="C354:E354"/>
    <mergeCell ref="F430:H430"/>
    <mergeCell ref="F197:K197"/>
    <mergeCell ref="R652:S652"/>
    <mergeCell ref="N626:P626"/>
    <mergeCell ref="P622:Q622"/>
    <mergeCell ref="A623:H623"/>
    <mergeCell ref="K622:L622"/>
    <mergeCell ref="S609:U609"/>
    <mergeCell ref="R487:R500"/>
    <mergeCell ref="A597:D597"/>
    <mergeCell ref="A586:D586"/>
    <mergeCell ref="J609:M609"/>
    <mergeCell ref="A591:D591"/>
    <mergeCell ref="E593:G593"/>
    <mergeCell ref="F427:H427"/>
    <mergeCell ref="F426:H426"/>
    <mergeCell ref="A440:F440"/>
    <mergeCell ref="F429:H429"/>
    <mergeCell ref="F428:H428"/>
    <mergeCell ref="S630:U630"/>
    <mergeCell ref="B638:U639"/>
    <mergeCell ref="J652:K652"/>
    <mergeCell ref="L652:M652"/>
    <mergeCell ref="E617:G617"/>
    <mergeCell ref="S632:U632"/>
    <mergeCell ref="A636:D636"/>
    <mergeCell ref="E632:G632"/>
    <mergeCell ref="E616:G616"/>
    <mergeCell ref="J616:M616"/>
    <mergeCell ref="N614:P614"/>
    <mergeCell ref="J617:M617"/>
    <mergeCell ref="A617:D617"/>
    <mergeCell ref="S633:V633"/>
    <mergeCell ref="S631:V631"/>
    <mergeCell ref="A616:D616"/>
    <mergeCell ref="B620:E620"/>
    <mergeCell ref="A486:C486"/>
    <mergeCell ref="D486:E486"/>
    <mergeCell ref="F486:H486"/>
    <mergeCell ref="I486:J486"/>
    <mergeCell ref="K486:L486"/>
    <mergeCell ref="M486:O486"/>
    <mergeCell ref="P486:Q486"/>
    <mergeCell ref="N512:P512"/>
    <mergeCell ref="J490:M490"/>
    <mergeCell ref="N514:P514"/>
    <mergeCell ref="J531:M531"/>
    <mergeCell ref="J507:M507"/>
    <mergeCell ref="N609:P609"/>
    <mergeCell ref="J612:M612"/>
    <mergeCell ref="N612:P612"/>
    <mergeCell ref="J586:M586"/>
    <mergeCell ref="A594:D594"/>
    <mergeCell ref="N595:P595"/>
    <mergeCell ref="K604:L604"/>
    <mergeCell ref="J607:M607"/>
    <mergeCell ref="N607:P607"/>
    <mergeCell ref="E585:G585"/>
    <mergeCell ref="J585:M585"/>
    <mergeCell ref="N585:P585"/>
    <mergeCell ref="J591:M591"/>
    <mergeCell ref="A608:D608"/>
    <mergeCell ref="N586:P586"/>
    <mergeCell ref="A604:C604"/>
    <mergeCell ref="D604:E604"/>
    <mergeCell ref="E615:H615"/>
    <mergeCell ref="J630:M630"/>
    <mergeCell ref="N630:P630"/>
    <mergeCell ref="A632:D632"/>
    <mergeCell ref="J627:M627"/>
    <mergeCell ref="N627:P627"/>
    <mergeCell ref="E629:G629"/>
    <mergeCell ref="A642:I642"/>
    <mergeCell ref="A644:A659"/>
    <mergeCell ref="C644:E644"/>
    <mergeCell ref="F644:G644"/>
    <mergeCell ref="P652:Q652"/>
    <mergeCell ref="N652:O652"/>
    <mergeCell ref="N617:P617"/>
    <mergeCell ref="A618:D618"/>
    <mergeCell ref="E618:G618"/>
    <mergeCell ref="N629:P629"/>
    <mergeCell ref="J625:M625"/>
    <mergeCell ref="E635:G635"/>
    <mergeCell ref="A635:D635"/>
    <mergeCell ref="N634:P634"/>
    <mergeCell ref="A630:D630"/>
    <mergeCell ref="E630:G630"/>
    <mergeCell ref="I622:J622"/>
    <mergeCell ref="J632:M632"/>
    <mergeCell ref="N632:P632"/>
    <mergeCell ref="D622:E622"/>
    <mergeCell ref="N625:P625"/>
    <mergeCell ref="A626:D626"/>
    <mergeCell ref="E626:G626"/>
    <mergeCell ref="J626:M626"/>
    <mergeCell ref="J635:M635"/>
    <mergeCell ref="N635:P635"/>
    <mergeCell ref="S590:U590"/>
    <mergeCell ref="S591:U591"/>
    <mergeCell ref="S594:V594"/>
    <mergeCell ref="N594:Q594"/>
    <mergeCell ref="E586:G586"/>
    <mergeCell ref="A596:D596"/>
    <mergeCell ref="E596:G596"/>
    <mergeCell ref="E594:H594"/>
    <mergeCell ref="J594:M594"/>
    <mergeCell ref="A595:D595"/>
    <mergeCell ref="C656:E656"/>
    <mergeCell ref="C657:E657"/>
    <mergeCell ref="C658:E658"/>
    <mergeCell ref="H644:I644"/>
    <mergeCell ref="J644:K644"/>
    <mergeCell ref="C653:E653"/>
    <mergeCell ref="C654:E654"/>
    <mergeCell ref="C655:E655"/>
    <mergeCell ref="J636:Q636"/>
    <mergeCell ref="A627:D627"/>
    <mergeCell ref="E627:G627"/>
    <mergeCell ref="J629:M629"/>
    <mergeCell ref="I623:I636"/>
    <mergeCell ref="J623:Q623"/>
    <mergeCell ref="A624:D624"/>
    <mergeCell ref="E624:G624"/>
    <mergeCell ref="J624:M624"/>
    <mergeCell ref="N624:P624"/>
    <mergeCell ref="A625:D625"/>
    <mergeCell ref="E625:G625"/>
    <mergeCell ref="F604:H604"/>
    <mergeCell ref="I604:J604"/>
    <mergeCell ref="S555:V555"/>
    <mergeCell ref="S556:U556"/>
    <mergeCell ref="S557:U557"/>
    <mergeCell ref="S605:V605"/>
    <mergeCell ref="J593:M593"/>
    <mergeCell ref="S566:V566"/>
    <mergeCell ref="S567:U567"/>
    <mergeCell ref="E597:G597"/>
    <mergeCell ref="S572:U572"/>
    <mergeCell ref="S539:U539"/>
    <mergeCell ref="R545:R558"/>
    <mergeCell ref="S545:V545"/>
    <mergeCell ref="S546:U546"/>
    <mergeCell ref="S547:U547"/>
    <mergeCell ref="S549:U549"/>
    <mergeCell ref="B602:H602"/>
    <mergeCell ref="J596:M596"/>
    <mergeCell ref="N596:P596"/>
    <mergeCell ref="M604:O604"/>
    <mergeCell ref="J589:M589"/>
    <mergeCell ref="N589:P589"/>
    <mergeCell ref="A588:D588"/>
    <mergeCell ref="E588:G588"/>
    <mergeCell ref="J588:M588"/>
    <mergeCell ref="K583:L583"/>
    <mergeCell ref="M583:O583"/>
    <mergeCell ref="J592:M592"/>
    <mergeCell ref="N592:P592"/>
    <mergeCell ref="P604:Q604"/>
    <mergeCell ref="A593:D593"/>
    <mergeCell ref="E591:G591"/>
    <mergeCell ref="N588:P588"/>
    <mergeCell ref="S607:U607"/>
    <mergeCell ref="S608:U608"/>
    <mergeCell ref="J567:M567"/>
    <mergeCell ref="N567:P567"/>
    <mergeCell ref="E546:G546"/>
    <mergeCell ref="A567:D567"/>
    <mergeCell ref="A566:H566"/>
    <mergeCell ref="I566:I579"/>
    <mergeCell ref="E578:G578"/>
    <mergeCell ref="J578:M578"/>
    <mergeCell ref="A557:D557"/>
    <mergeCell ref="E557:G557"/>
    <mergeCell ref="E558:G558"/>
    <mergeCell ref="J554:M554"/>
    <mergeCell ref="A550:D550"/>
    <mergeCell ref="J608:M608"/>
    <mergeCell ref="N608:P608"/>
    <mergeCell ref="A553:D553"/>
    <mergeCell ref="B581:G581"/>
    <mergeCell ref="S606:U606"/>
    <mergeCell ref="S595:U595"/>
    <mergeCell ref="J590:M590"/>
    <mergeCell ref="N590:P590"/>
    <mergeCell ref="A587:D587"/>
    <mergeCell ref="E587:G587"/>
    <mergeCell ref="J587:M587"/>
    <mergeCell ref="N587:P587"/>
    <mergeCell ref="P583:Q583"/>
    <mergeCell ref="A584:H584"/>
    <mergeCell ref="I584:I597"/>
    <mergeCell ref="J584:Q584"/>
    <mergeCell ref="A585:D585"/>
    <mergeCell ref="R68:T68"/>
    <mergeCell ref="B68:D68"/>
    <mergeCell ref="K75:L75"/>
    <mergeCell ref="H138:J138"/>
    <mergeCell ref="H137:J137"/>
    <mergeCell ref="H136:J136"/>
    <mergeCell ref="G294:H294"/>
    <mergeCell ref="B425:E425"/>
    <mergeCell ref="C449:K449"/>
    <mergeCell ref="H416:I416"/>
    <mergeCell ref="H414:I414"/>
    <mergeCell ref="E416:F416"/>
    <mergeCell ref="E415:F415"/>
    <mergeCell ref="B474:E474"/>
    <mergeCell ref="K417:L417"/>
    <mergeCell ref="N417:O417"/>
    <mergeCell ref="H386:J386"/>
    <mergeCell ref="I158:P158"/>
    <mergeCell ref="B176:H176"/>
    <mergeCell ref="B140:G140"/>
    <mergeCell ref="H140:J140"/>
    <mergeCell ref="L140:O140"/>
    <mergeCell ref="M293:N293"/>
    <mergeCell ref="G80:H80"/>
    <mergeCell ref="B136:G136"/>
    <mergeCell ref="L139:O139"/>
    <mergeCell ref="L138:O138"/>
    <mergeCell ref="A289:F289"/>
    <mergeCell ref="L448:O448"/>
    <mergeCell ref="I231:K231"/>
    <mergeCell ref="M231:O231"/>
    <mergeCell ref="M297:N297"/>
    <mergeCell ref="K80:L80"/>
    <mergeCell ref="P292:Q292"/>
    <mergeCell ref="I112:J112"/>
    <mergeCell ref="B113:H113"/>
    <mergeCell ref="B112:H112"/>
    <mergeCell ref="L103:N103"/>
    <mergeCell ref="L102:N102"/>
    <mergeCell ref="B177:H177"/>
    <mergeCell ref="L101:N101"/>
    <mergeCell ref="L100:N100"/>
    <mergeCell ref="B98:V98"/>
    <mergeCell ref="A106:E106"/>
    <mergeCell ref="B180:H180"/>
    <mergeCell ref="M292:N292"/>
    <mergeCell ref="L108:M108"/>
    <mergeCell ref="L109:M109"/>
    <mergeCell ref="D274:N274"/>
    <mergeCell ref="D275:N275"/>
    <mergeCell ref="D276:N276"/>
    <mergeCell ref="C245:P245"/>
    <mergeCell ref="O247:P247"/>
    <mergeCell ref="B252:B256"/>
    <mergeCell ref="C252:T252"/>
    <mergeCell ref="C253:T253"/>
    <mergeCell ref="C254:T254"/>
    <mergeCell ref="K85:M85"/>
    <mergeCell ref="G290:H290"/>
    <mergeCell ref="I157:P157"/>
    <mergeCell ref="I152:P153"/>
    <mergeCell ref="B152:H153"/>
    <mergeCell ref="I154:P154"/>
    <mergeCell ref="B123:G123"/>
    <mergeCell ref="B75:D75"/>
    <mergeCell ref="G81:H81"/>
    <mergeCell ref="Q86:S86"/>
    <mergeCell ref="N86:P86"/>
    <mergeCell ref="A3:V3"/>
    <mergeCell ref="E482:U482"/>
    <mergeCell ref="E481:U481"/>
    <mergeCell ref="E480:U480"/>
    <mergeCell ref="C467:F467"/>
    <mergeCell ref="E389:F389"/>
    <mergeCell ref="H389:I389"/>
    <mergeCell ref="K389:L389"/>
    <mergeCell ref="N389:O389"/>
    <mergeCell ref="B464:E464"/>
    <mergeCell ref="C466:U466"/>
    <mergeCell ref="Q178:S178"/>
    <mergeCell ref="Q175:S175"/>
    <mergeCell ref="I467:J467"/>
    <mergeCell ref="L136:O136"/>
    <mergeCell ref="L135:O135"/>
    <mergeCell ref="B64:T65"/>
    <mergeCell ref="B414:D414"/>
    <mergeCell ref="I75:J75"/>
    <mergeCell ref="O75:Q75"/>
    <mergeCell ref="A73:D73"/>
    <mergeCell ref="E417:F417"/>
    <mergeCell ref="H417:I417"/>
    <mergeCell ref="B224:P225"/>
    <mergeCell ref="Q224:T224"/>
    <mergeCell ref="Q225:T225"/>
    <mergeCell ref="C30:S30"/>
    <mergeCell ref="I80:J80"/>
    <mergeCell ref="E636:G636"/>
    <mergeCell ref="A633:D633"/>
    <mergeCell ref="E633:H633"/>
    <mergeCell ref="J633:M633"/>
    <mergeCell ref="N633:Q633"/>
    <mergeCell ref="A634:D634"/>
    <mergeCell ref="E634:G634"/>
    <mergeCell ref="J634:M634"/>
    <mergeCell ref="I605:I618"/>
    <mergeCell ref="J605:Q605"/>
    <mergeCell ref="A606:D606"/>
    <mergeCell ref="E606:G606"/>
    <mergeCell ref="J606:M606"/>
    <mergeCell ref="N606:P606"/>
    <mergeCell ref="A607:D607"/>
    <mergeCell ref="E607:G607"/>
    <mergeCell ref="J618:Q618"/>
    <mergeCell ref="A611:D611"/>
    <mergeCell ref="F622:H622"/>
    <mergeCell ref="A614:D614"/>
    <mergeCell ref="A622:C622"/>
    <mergeCell ref="A629:D629"/>
    <mergeCell ref="E614:G614"/>
    <mergeCell ref="J614:M614"/>
    <mergeCell ref="E612:G612"/>
    <mergeCell ref="N611:P611"/>
    <mergeCell ref="A609:D609"/>
    <mergeCell ref="E609:G609"/>
    <mergeCell ref="A605:H605"/>
    <mergeCell ref="E611:G611"/>
    <mergeCell ref="J611:M611"/>
    <mergeCell ref="A615:D615"/>
    <mergeCell ref="J615:M615"/>
    <mergeCell ref="N615:Q615"/>
    <mergeCell ref="E595:G595"/>
    <mergeCell ref="J595:M595"/>
    <mergeCell ref="A589:D589"/>
    <mergeCell ref="E589:G589"/>
    <mergeCell ref="C361:E361"/>
    <mergeCell ref="N388:O388"/>
    <mergeCell ref="K414:L414"/>
    <mergeCell ref="C393:E393"/>
    <mergeCell ref="L401:M401"/>
    <mergeCell ref="C394:E394"/>
    <mergeCell ref="C395:E395"/>
    <mergeCell ref="C396:E396"/>
    <mergeCell ref="A612:D612"/>
    <mergeCell ref="N411:P411"/>
    <mergeCell ref="E410:J410"/>
    <mergeCell ref="K410:P410"/>
    <mergeCell ref="E414:F414"/>
    <mergeCell ref="K416:L416"/>
    <mergeCell ref="N413:O413"/>
    <mergeCell ref="B410:D411"/>
    <mergeCell ref="N416:O416"/>
    <mergeCell ref="J496:M496"/>
    <mergeCell ref="B480:D480"/>
    <mergeCell ref="I430:K430"/>
    <mergeCell ref="A487:H487"/>
    <mergeCell ref="B461:V461"/>
    <mergeCell ref="F431:H431"/>
    <mergeCell ref="A459:P459"/>
    <mergeCell ref="K418:L418"/>
    <mergeCell ref="F425:H425"/>
    <mergeCell ref="Q185:S185"/>
    <mergeCell ref="Q186:S186"/>
    <mergeCell ref="Q187:S187"/>
    <mergeCell ref="Q188:S188"/>
    <mergeCell ref="A219:A220"/>
    <mergeCell ref="B284:U284"/>
    <mergeCell ref="I292:J292"/>
    <mergeCell ref="G289:N289"/>
    <mergeCell ref="P291:Q291"/>
    <mergeCell ref="B197:E197"/>
    <mergeCell ref="T354:U354"/>
    <mergeCell ref="E306:U306"/>
    <mergeCell ref="C314:F314"/>
    <mergeCell ref="A292:F292"/>
    <mergeCell ref="C243:P243"/>
    <mergeCell ref="B184:H184"/>
    <mergeCell ref="I184:P184"/>
    <mergeCell ref="A290:F290"/>
    <mergeCell ref="B185:H185"/>
    <mergeCell ref="C304:T304"/>
    <mergeCell ref="P294:Q294"/>
    <mergeCell ref="P293:Q293"/>
    <mergeCell ref="B280:U283"/>
    <mergeCell ref="H354:I354"/>
    <mergeCell ref="J354:K354"/>
    <mergeCell ref="L354:M354"/>
    <mergeCell ref="U298:V298"/>
    <mergeCell ref="U297:V297"/>
    <mergeCell ref="U296:V296"/>
    <mergeCell ref="U295:V295"/>
    <mergeCell ref="B329:B336"/>
    <mergeCell ref="B337:B344"/>
    <mergeCell ref="Q182:S182"/>
    <mergeCell ref="F219:H219"/>
    <mergeCell ref="J219:L219"/>
    <mergeCell ref="N219:P219"/>
    <mergeCell ref="Q176:S176"/>
    <mergeCell ref="K297:L297"/>
    <mergeCell ref="G295:H295"/>
    <mergeCell ref="M295:N295"/>
    <mergeCell ref="I177:P177"/>
    <mergeCell ref="G293:H293"/>
    <mergeCell ref="K292:L292"/>
    <mergeCell ref="G292:H292"/>
    <mergeCell ref="I232:T232"/>
    <mergeCell ref="C235:U235"/>
    <mergeCell ref="Q171:S171"/>
    <mergeCell ref="K294:L294"/>
    <mergeCell ref="G291:H291"/>
    <mergeCell ref="B182:H182"/>
    <mergeCell ref="C270:M270"/>
    <mergeCell ref="B232:H232"/>
    <mergeCell ref="B231:H231"/>
    <mergeCell ref="P289:S290"/>
    <mergeCell ref="B178:H178"/>
    <mergeCell ref="A297:F297"/>
    <mergeCell ref="I296:J296"/>
    <mergeCell ref="R291:S291"/>
    <mergeCell ref="R292:S292"/>
    <mergeCell ref="P297:Q297"/>
    <mergeCell ref="P296:Q296"/>
    <mergeCell ref="P295:Q295"/>
    <mergeCell ref="U294:V294"/>
    <mergeCell ref="U293:V293"/>
    <mergeCell ref="D4:F4"/>
    <mergeCell ref="B132:U133"/>
    <mergeCell ref="M75:N75"/>
    <mergeCell ref="M80:N80"/>
    <mergeCell ref="S80:T80"/>
    <mergeCell ref="C19:U19"/>
    <mergeCell ref="O80:P80"/>
    <mergeCell ref="B81:D81"/>
    <mergeCell ref="R67:U67"/>
    <mergeCell ref="M76:N76"/>
    <mergeCell ref="I76:J76"/>
    <mergeCell ref="O76:Q76"/>
    <mergeCell ref="B86:D86"/>
    <mergeCell ref="L123:N123"/>
    <mergeCell ref="M81:N81"/>
    <mergeCell ref="O81:P81"/>
    <mergeCell ref="G4:J4"/>
    <mergeCell ref="O4:R4"/>
    <mergeCell ref="B80:D80"/>
    <mergeCell ref="K76:L76"/>
    <mergeCell ref="S81:T81"/>
    <mergeCell ref="P126:R126"/>
    <mergeCell ref="T86:U86"/>
    <mergeCell ref="E80:F80"/>
    <mergeCell ref="E81:F81"/>
    <mergeCell ref="H124:J124"/>
    <mergeCell ref="L122:O122"/>
    <mergeCell ref="B76:D76"/>
    <mergeCell ref="Q80:R80"/>
    <mergeCell ref="L124:N124"/>
    <mergeCell ref="E85:G85"/>
    <mergeCell ref="E75:F75"/>
    <mergeCell ref="G5:J5"/>
    <mergeCell ref="A52:C52"/>
    <mergeCell ref="B67:E67"/>
    <mergeCell ref="A130:G130"/>
    <mergeCell ref="C127:U128"/>
    <mergeCell ref="D41:G41"/>
    <mergeCell ref="B163:H163"/>
    <mergeCell ref="A78:H78"/>
    <mergeCell ref="H85:J85"/>
    <mergeCell ref="G75:H75"/>
    <mergeCell ref="Q85:S85"/>
    <mergeCell ref="N85:P85"/>
    <mergeCell ref="G76:H76"/>
    <mergeCell ref="E76:F76"/>
    <mergeCell ref="B126:G126"/>
    <mergeCell ref="L125:N125"/>
    <mergeCell ref="Q160:S160"/>
    <mergeCell ref="L5:N5"/>
    <mergeCell ref="D5:F5"/>
    <mergeCell ref="K44:V45"/>
    <mergeCell ref="B135:G135"/>
    <mergeCell ref="B134:G134"/>
    <mergeCell ref="H135:J135"/>
    <mergeCell ref="B139:G139"/>
    <mergeCell ref="I81:J81"/>
    <mergeCell ref="L134:O134"/>
    <mergeCell ref="B85:D85"/>
    <mergeCell ref="H122:K122"/>
    <mergeCell ref="A116:M116"/>
    <mergeCell ref="H123:J123"/>
    <mergeCell ref="B157:H157"/>
    <mergeCell ref="A83:F83"/>
    <mergeCell ref="Q152:S153"/>
    <mergeCell ref="B181:H181"/>
    <mergeCell ref="I173:P173"/>
    <mergeCell ref="I174:P174"/>
    <mergeCell ref="B159:H159"/>
    <mergeCell ref="B158:H158"/>
    <mergeCell ref="B156:H156"/>
    <mergeCell ref="Q159:S159"/>
    <mergeCell ref="I156:P156"/>
    <mergeCell ref="Q174:S174"/>
    <mergeCell ref="Q162:S162"/>
    <mergeCell ref="I166:P166"/>
    <mergeCell ref="Q93:R93"/>
    <mergeCell ref="Q161:S161"/>
    <mergeCell ref="B168:H168"/>
    <mergeCell ref="H146:J146"/>
    <mergeCell ref="P122:S122"/>
    <mergeCell ref="P123:R123"/>
    <mergeCell ref="P124:R124"/>
    <mergeCell ref="I155:P155"/>
    <mergeCell ref="B137:G137"/>
    <mergeCell ref="B108:C108"/>
    <mergeCell ref="I161:P161"/>
    <mergeCell ref="Q157:S157"/>
    <mergeCell ref="Q158:S158"/>
    <mergeCell ref="I170:P170"/>
    <mergeCell ref="L118:N118"/>
    <mergeCell ref="Q177:S177"/>
    <mergeCell ref="I176:P176"/>
    <mergeCell ref="Q168:S168"/>
    <mergeCell ref="I172:P172"/>
    <mergeCell ref="L99:O99"/>
    <mergeCell ref="J59:K59"/>
    <mergeCell ref="K86:M86"/>
    <mergeCell ref="H86:J86"/>
    <mergeCell ref="I164:P164"/>
    <mergeCell ref="C22:U22"/>
    <mergeCell ref="G6:R6"/>
    <mergeCell ref="D6:F6"/>
    <mergeCell ref="I183:P183"/>
    <mergeCell ref="I171:P171"/>
    <mergeCell ref="Q170:S170"/>
    <mergeCell ref="B160:H160"/>
    <mergeCell ref="B174:H174"/>
    <mergeCell ref="B173:H173"/>
    <mergeCell ref="B172:H172"/>
    <mergeCell ref="C268:M268"/>
    <mergeCell ref="C269:M269"/>
    <mergeCell ref="B183:H183"/>
    <mergeCell ref="C14:U14"/>
    <mergeCell ref="C12:U12"/>
    <mergeCell ref="B165:H165"/>
    <mergeCell ref="I165:P165"/>
    <mergeCell ref="D43:J43"/>
    <mergeCell ref="D44:J44"/>
    <mergeCell ref="E86:G86"/>
    <mergeCell ref="I159:P159"/>
    <mergeCell ref="B117:S117"/>
    <mergeCell ref="K146:M146"/>
    <mergeCell ref="Q81:R81"/>
    <mergeCell ref="I168:P168"/>
    <mergeCell ref="H139:J139"/>
    <mergeCell ref="B161:H161"/>
    <mergeCell ref="A48:C48"/>
    <mergeCell ref="A46:C46"/>
    <mergeCell ref="C13:U13"/>
    <mergeCell ref="B162:H162"/>
    <mergeCell ref="B154:H154"/>
    <mergeCell ref="C32:S32"/>
    <mergeCell ref="C28:S28"/>
    <mergeCell ref="A61:E61"/>
    <mergeCell ref="Q167:S167"/>
    <mergeCell ref="B119:U120"/>
    <mergeCell ref="I169:P169"/>
    <mergeCell ref="H125:J125"/>
    <mergeCell ref="D52:J52"/>
    <mergeCell ref="K93:M93"/>
    <mergeCell ref="N93:P93"/>
    <mergeCell ref="A50:C50"/>
    <mergeCell ref="A55:C55"/>
    <mergeCell ref="K81:L81"/>
    <mergeCell ref="B58:D58"/>
    <mergeCell ref="F58:H58"/>
    <mergeCell ref="J58:L58"/>
    <mergeCell ref="B59:C59"/>
    <mergeCell ref="F59:G59"/>
    <mergeCell ref="I50:J50"/>
    <mergeCell ref="E48:F48"/>
    <mergeCell ref="H134:K134"/>
    <mergeCell ref="C27:S27"/>
    <mergeCell ref="A53:C53"/>
    <mergeCell ref="D53:H53"/>
    <mergeCell ref="B145:G145"/>
    <mergeCell ref="I160:P160"/>
    <mergeCell ref="D46:J46"/>
    <mergeCell ref="H145:J145"/>
    <mergeCell ref="H109:I109"/>
    <mergeCell ref="P354:Q354"/>
    <mergeCell ref="A375:I375"/>
    <mergeCell ref="B401:B408"/>
    <mergeCell ref="C401:E401"/>
    <mergeCell ref="F401:G401"/>
    <mergeCell ref="C358:E358"/>
    <mergeCell ref="B393:B400"/>
    <mergeCell ref="R388:U388"/>
    <mergeCell ref="P329:Q329"/>
    <mergeCell ref="C329:E329"/>
    <mergeCell ref="C333:E333"/>
    <mergeCell ref="J337:K337"/>
    <mergeCell ref="C335:E335"/>
    <mergeCell ref="C334:E334"/>
    <mergeCell ref="C397:E397"/>
    <mergeCell ref="C398:E398"/>
    <mergeCell ref="F337:G337"/>
    <mergeCell ref="H337:I337"/>
    <mergeCell ref="C403:E403"/>
    <mergeCell ref="C405:E405"/>
    <mergeCell ref="N337:O337"/>
    <mergeCell ref="T337:U337"/>
    <mergeCell ref="C346:E346"/>
    <mergeCell ref="L393:M393"/>
    <mergeCell ref="B125:G125"/>
    <mergeCell ref="B122:G122"/>
    <mergeCell ref="J329:K329"/>
    <mergeCell ref="B308:U309"/>
    <mergeCell ref="I179:P179"/>
    <mergeCell ref="I290:L290"/>
    <mergeCell ref="B354:B361"/>
    <mergeCell ref="B388:D388"/>
    <mergeCell ref="E418:F418"/>
    <mergeCell ref="J401:K401"/>
    <mergeCell ref="G471:H471"/>
    <mergeCell ref="B415:D415"/>
    <mergeCell ref="R393:S393"/>
    <mergeCell ref="T393:U393"/>
    <mergeCell ref="F432:H432"/>
    <mergeCell ref="G467:H467"/>
    <mergeCell ref="M469:N469"/>
    <mergeCell ref="H415:I415"/>
    <mergeCell ref="B412:D412"/>
    <mergeCell ref="B413:D413"/>
    <mergeCell ref="F433:H433"/>
    <mergeCell ref="C434:U436"/>
    <mergeCell ref="H457:K457"/>
    <mergeCell ref="N456:R456"/>
    <mergeCell ref="N457:Q457"/>
    <mergeCell ref="H456:L456"/>
    <mergeCell ref="A452:F452"/>
    <mergeCell ref="M430:O430"/>
    <mergeCell ref="M429:O429"/>
    <mergeCell ref="M428:O428"/>
    <mergeCell ref="H388:I388"/>
    <mergeCell ref="Q428:S428"/>
    <mergeCell ref="K468:L468"/>
    <mergeCell ref="B428:E429"/>
    <mergeCell ref="I469:J469"/>
    <mergeCell ref="L450:O450"/>
    <mergeCell ref="L449:O449"/>
    <mergeCell ref="O468:P468"/>
    <mergeCell ref="I433:K433"/>
    <mergeCell ref="A511:D511"/>
    <mergeCell ref="E511:G511"/>
    <mergeCell ref="J511:M511"/>
    <mergeCell ref="N511:P511"/>
    <mergeCell ref="A514:D514"/>
    <mergeCell ref="N515:P515"/>
    <mergeCell ref="J487:Q487"/>
    <mergeCell ref="E491:G491"/>
    <mergeCell ref="J491:M491"/>
    <mergeCell ref="A488:D488"/>
    <mergeCell ref="J527:Q527"/>
    <mergeCell ref="A526:C526"/>
    <mergeCell ref="P526:Q526"/>
    <mergeCell ref="A532:D532"/>
    <mergeCell ref="I527:I540"/>
    <mergeCell ref="N534:P534"/>
    <mergeCell ref="A527:H527"/>
    <mergeCell ref="A537:D537"/>
    <mergeCell ref="I505:J505"/>
    <mergeCell ref="A536:D536"/>
    <mergeCell ref="N531:P531"/>
    <mergeCell ref="J538:M538"/>
    <mergeCell ref="N494:P494"/>
    <mergeCell ref="E496:G496"/>
    <mergeCell ref="B524:G524"/>
    <mergeCell ref="A531:D531"/>
    <mergeCell ref="A528:D528"/>
    <mergeCell ref="J488:M488"/>
    <mergeCell ref="N488:P488"/>
    <mergeCell ref="N491:P491"/>
    <mergeCell ref="B521:U522"/>
    <mergeCell ref="A512:D512"/>
    <mergeCell ref="S493:U493"/>
    <mergeCell ref="S494:U494"/>
    <mergeCell ref="S496:U496"/>
    <mergeCell ref="S497:V497"/>
    <mergeCell ref="S498:U498"/>
    <mergeCell ref="S499:U499"/>
    <mergeCell ref="A493:D493"/>
    <mergeCell ref="S509:U509"/>
    <mergeCell ref="S510:U510"/>
    <mergeCell ref="B477:D477"/>
    <mergeCell ref="P505:Q505"/>
    <mergeCell ref="B479:D479"/>
    <mergeCell ref="B484:H484"/>
    <mergeCell ref="B482:D482"/>
    <mergeCell ref="B481:D481"/>
    <mergeCell ref="E488:G488"/>
    <mergeCell ref="A495:D495"/>
    <mergeCell ref="N495:P495"/>
    <mergeCell ref="D505:E505"/>
    <mergeCell ref="K467:L467"/>
    <mergeCell ref="M467:N467"/>
    <mergeCell ref="C471:F471"/>
    <mergeCell ref="A494:D494"/>
    <mergeCell ref="E494:G494"/>
    <mergeCell ref="J494:M494"/>
    <mergeCell ref="N513:P513"/>
    <mergeCell ref="J515:M515"/>
    <mergeCell ref="B478:D478"/>
    <mergeCell ref="A510:D510"/>
    <mergeCell ref="Q469:R469"/>
    <mergeCell ref="O467:P467"/>
    <mergeCell ref="J506:Q506"/>
    <mergeCell ref="A508:D508"/>
    <mergeCell ref="J516:M516"/>
    <mergeCell ref="E477:U477"/>
    <mergeCell ref="E476:U476"/>
    <mergeCell ref="I468:J468"/>
    <mergeCell ref="C472:F472"/>
    <mergeCell ref="J514:M514"/>
    <mergeCell ref="K505:L505"/>
    <mergeCell ref="R506:R519"/>
    <mergeCell ref="S506:V506"/>
    <mergeCell ref="S507:U507"/>
    <mergeCell ref="S508:U508"/>
    <mergeCell ref="O472:P472"/>
    <mergeCell ref="F505:H505"/>
    <mergeCell ref="A519:D519"/>
    <mergeCell ref="E519:G519"/>
    <mergeCell ref="N507:P507"/>
    <mergeCell ref="A497:D497"/>
    <mergeCell ref="E497:H497"/>
    <mergeCell ref="A579:D579"/>
    <mergeCell ref="N539:P539"/>
    <mergeCell ref="E536:G536"/>
    <mergeCell ref="E534:G534"/>
    <mergeCell ref="J534:M534"/>
    <mergeCell ref="A529:D529"/>
    <mergeCell ref="E532:G532"/>
    <mergeCell ref="J532:M532"/>
    <mergeCell ref="N532:P532"/>
    <mergeCell ref="E531:G531"/>
    <mergeCell ref="A535:D535"/>
    <mergeCell ref="E535:G535"/>
    <mergeCell ref="J535:M535"/>
    <mergeCell ref="N535:P535"/>
    <mergeCell ref="A530:D530"/>
    <mergeCell ref="A534:D534"/>
    <mergeCell ref="N538:P538"/>
    <mergeCell ref="A556:D556"/>
    <mergeCell ref="E556:G556"/>
    <mergeCell ref="E551:G551"/>
    <mergeCell ref="J545:Q545"/>
    <mergeCell ref="J540:Q540"/>
    <mergeCell ref="N546:P546"/>
    <mergeCell ref="D544:E544"/>
    <mergeCell ref="F544:H544"/>
    <mergeCell ref="I544:J544"/>
    <mergeCell ref="K544:L544"/>
    <mergeCell ref="E538:G538"/>
    <mergeCell ref="J536:M536"/>
    <mergeCell ref="J530:M530"/>
    <mergeCell ref="E550:G550"/>
    <mergeCell ref="J550:M550"/>
    <mergeCell ref="C87:U88"/>
    <mergeCell ref="S470:T470"/>
    <mergeCell ref="I429:K429"/>
    <mergeCell ref="I428:K428"/>
    <mergeCell ref="A496:D496"/>
    <mergeCell ref="E499:G499"/>
    <mergeCell ref="J499:M499"/>
    <mergeCell ref="C332:E332"/>
    <mergeCell ref="C331:E331"/>
    <mergeCell ref="B385:D386"/>
    <mergeCell ref="T346:U346"/>
    <mergeCell ref="C437:U438"/>
    <mergeCell ref="L447:O447"/>
    <mergeCell ref="C470:F470"/>
    <mergeCell ref="C408:E408"/>
    <mergeCell ref="A492:D492"/>
    <mergeCell ref="E492:G492"/>
    <mergeCell ref="J497:M497"/>
    <mergeCell ref="N497:Q497"/>
    <mergeCell ref="J495:M495"/>
    <mergeCell ref="Q472:R472"/>
    <mergeCell ref="K469:L469"/>
    <mergeCell ref="J492:M492"/>
    <mergeCell ref="I471:J471"/>
    <mergeCell ref="G470:H470"/>
    <mergeCell ref="S471:T471"/>
    <mergeCell ref="S472:T472"/>
    <mergeCell ref="Q467:R467"/>
    <mergeCell ref="G468:H468"/>
    <mergeCell ref="B114:H114"/>
    <mergeCell ref="I114:U114"/>
    <mergeCell ref="B346:B353"/>
    <mergeCell ref="D7:R8"/>
    <mergeCell ref="A37:V37"/>
    <mergeCell ref="A38:V38"/>
    <mergeCell ref="E493:G493"/>
    <mergeCell ref="J493:M493"/>
    <mergeCell ref="N493:P493"/>
    <mergeCell ref="E509:G509"/>
    <mergeCell ref="J509:M509"/>
    <mergeCell ref="N509:P509"/>
    <mergeCell ref="S467:T467"/>
    <mergeCell ref="E500:G500"/>
    <mergeCell ref="Q468:R468"/>
    <mergeCell ref="Q470:R470"/>
    <mergeCell ref="C469:F469"/>
    <mergeCell ref="J500:Q500"/>
    <mergeCell ref="J508:M508"/>
    <mergeCell ref="N508:P508"/>
    <mergeCell ref="A509:D509"/>
    <mergeCell ref="E489:G489"/>
    <mergeCell ref="H503:V503"/>
    <mergeCell ref="G469:H469"/>
    <mergeCell ref="C15:U16"/>
    <mergeCell ref="C18:U18"/>
    <mergeCell ref="C17:U17"/>
    <mergeCell ref="H329:I329"/>
    <mergeCell ref="F329:G329"/>
    <mergeCell ref="L329:M329"/>
    <mergeCell ref="N415:O415"/>
    <mergeCell ref="K412:L412"/>
    <mergeCell ref="Q471:R471"/>
    <mergeCell ref="C448:K448"/>
    <mergeCell ref="K471:L471"/>
    <mergeCell ref="T652:U652"/>
    <mergeCell ref="C357:E357"/>
    <mergeCell ref="A540:D540"/>
    <mergeCell ref="N536:P536"/>
    <mergeCell ref="J537:M537"/>
    <mergeCell ref="J528:M528"/>
    <mergeCell ref="N528:P528"/>
    <mergeCell ref="N569:P569"/>
    <mergeCell ref="J572:M572"/>
    <mergeCell ref="N572:P572"/>
    <mergeCell ref="A573:D573"/>
    <mergeCell ref="E573:G573"/>
    <mergeCell ref="J573:M573"/>
    <mergeCell ref="A578:D578"/>
    <mergeCell ref="E570:G570"/>
    <mergeCell ref="N554:P554"/>
    <mergeCell ref="B443:U445"/>
    <mergeCell ref="B422:T423"/>
    <mergeCell ref="P544:Q544"/>
    <mergeCell ref="N556:P556"/>
    <mergeCell ref="M468:N468"/>
    <mergeCell ref="J512:M512"/>
    <mergeCell ref="A631:D631"/>
    <mergeCell ref="E631:G631"/>
    <mergeCell ref="J517:M517"/>
    <mergeCell ref="N517:P517"/>
    <mergeCell ref="N530:P530"/>
    <mergeCell ref="M433:O433"/>
    <mergeCell ref="M432:O432"/>
    <mergeCell ref="O469:P469"/>
    <mergeCell ref="J631:M631"/>
    <mergeCell ref="S512:U512"/>
    <mergeCell ref="S673:U673"/>
    <mergeCell ref="S669:U669"/>
    <mergeCell ref="S670:U670"/>
    <mergeCell ref="S671:U671"/>
    <mergeCell ref="S672:U672"/>
    <mergeCell ref="A326:K326"/>
    <mergeCell ref="A661:G661"/>
    <mergeCell ref="S666:V666"/>
    <mergeCell ref="S667:U667"/>
    <mergeCell ref="S668:U668"/>
    <mergeCell ref="L644:M644"/>
    <mergeCell ref="N644:O644"/>
    <mergeCell ref="P644:Q644"/>
    <mergeCell ref="R644:S644"/>
    <mergeCell ref="T644:U644"/>
    <mergeCell ref="C645:E645"/>
    <mergeCell ref="C646:E646"/>
    <mergeCell ref="C647:E647"/>
    <mergeCell ref="C648:E648"/>
    <mergeCell ref="C649:E649"/>
    <mergeCell ref="C650:E650"/>
    <mergeCell ref="C651:E651"/>
    <mergeCell ref="C652:E652"/>
    <mergeCell ref="F652:G652"/>
    <mergeCell ref="H652:I652"/>
    <mergeCell ref="F670:G670"/>
    <mergeCell ref="C447:K447"/>
    <mergeCell ref="L668:N668"/>
    <mergeCell ref="L667:N667"/>
    <mergeCell ref="E510:G510"/>
    <mergeCell ref="E579:G579"/>
    <mergeCell ref="S534:U534"/>
    <mergeCell ref="J529:M529"/>
    <mergeCell ref="K526:L526"/>
    <mergeCell ref="E514:G514"/>
    <mergeCell ref="E507:G507"/>
    <mergeCell ref="M526:O526"/>
    <mergeCell ref="I487:I500"/>
    <mergeCell ref="A489:D489"/>
    <mergeCell ref="M505:O505"/>
    <mergeCell ref="G472:H472"/>
    <mergeCell ref="N496:P496"/>
    <mergeCell ref="N490:P490"/>
    <mergeCell ref="S513:U513"/>
    <mergeCell ref="S518:U518"/>
    <mergeCell ref="S528:U528"/>
    <mergeCell ref="N489:P489"/>
    <mergeCell ref="A490:D490"/>
    <mergeCell ref="R527:R540"/>
    <mergeCell ref="S527:V527"/>
    <mergeCell ref="A538:D538"/>
    <mergeCell ref="E539:G539"/>
    <mergeCell ref="N492:P492"/>
    <mergeCell ref="S536:U536"/>
    <mergeCell ref="S537:V537"/>
    <mergeCell ref="A500:D500"/>
    <mergeCell ref="A499:D499"/>
    <mergeCell ref="E490:G490"/>
    <mergeCell ref="E479:U479"/>
    <mergeCell ref="E478:U478"/>
    <mergeCell ref="S488:U488"/>
    <mergeCell ref="S489:U489"/>
    <mergeCell ref="S490:U490"/>
    <mergeCell ref="S491:U491"/>
    <mergeCell ref="B663:V664"/>
    <mergeCell ref="A90:F90"/>
    <mergeCell ref="B92:D92"/>
    <mergeCell ref="E513:G513"/>
    <mergeCell ref="A515:D515"/>
    <mergeCell ref="E515:G515"/>
    <mergeCell ref="A516:D516"/>
    <mergeCell ref="E516:H516"/>
    <mergeCell ref="A517:D517"/>
    <mergeCell ref="E517:G517"/>
    <mergeCell ref="A575:D575"/>
    <mergeCell ref="E575:G575"/>
    <mergeCell ref="B560:U561"/>
    <mergeCell ref="A583:C583"/>
    <mergeCell ref="D583:E583"/>
    <mergeCell ref="E92:G92"/>
    <mergeCell ref="H92:J92"/>
    <mergeCell ref="K92:M92"/>
    <mergeCell ref="N92:P92"/>
    <mergeCell ref="B93:D93"/>
    <mergeCell ref="E93:G93"/>
    <mergeCell ref="H93:J93"/>
    <mergeCell ref="A518:D518"/>
    <mergeCell ref="F583:H583"/>
    <mergeCell ref="B503:G503"/>
    <mergeCell ref="A513:D513"/>
    <mergeCell ref="B476:D476"/>
    <mergeCell ref="C468:F468"/>
    <mergeCell ref="O471:P471"/>
    <mergeCell ref="K470:L470"/>
    <mergeCell ref="N516:Q516"/>
    <mergeCell ref="E518:G518"/>
    <mergeCell ref="S634:U634"/>
    <mergeCell ref="S635:U635"/>
    <mergeCell ref="R566:R579"/>
    <mergeCell ref="R584:R597"/>
    <mergeCell ref="A346:A361"/>
    <mergeCell ref="E512:G512"/>
    <mergeCell ref="F354:G354"/>
    <mergeCell ref="I583:J583"/>
    <mergeCell ref="A571:D571"/>
    <mergeCell ref="E571:G571"/>
    <mergeCell ref="N557:P557"/>
    <mergeCell ref="I565:J565"/>
    <mergeCell ref="K565:L565"/>
    <mergeCell ref="A574:D574"/>
    <mergeCell ref="J539:M539"/>
    <mergeCell ref="J556:M556"/>
    <mergeCell ref="N548:P548"/>
    <mergeCell ref="E547:G547"/>
    <mergeCell ref="B367:C367"/>
    <mergeCell ref="J610:M610"/>
    <mergeCell ref="N610:P610"/>
    <mergeCell ref="C356:E356"/>
    <mergeCell ref="C355:E355"/>
    <mergeCell ref="C347:E347"/>
    <mergeCell ref="R354:S354"/>
    <mergeCell ref="N547:P547"/>
    <mergeCell ref="A548:D548"/>
    <mergeCell ref="E548:G548"/>
    <mergeCell ref="J548:M548"/>
    <mergeCell ref="N631:P631"/>
    <mergeCell ref="J533:M533"/>
    <mergeCell ref="J577:M577"/>
    <mergeCell ref="C659:E659"/>
    <mergeCell ref="B652:B659"/>
    <mergeCell ref="B644:B651"/>
    <mergeCell ref="A539:D539"/>
    <mergeCell ref="A590:D590"/>
    <mergeCell ref="E590:G590"/>
    <mergeCell ref="I472:J472"/>
    <mergeCell ref="E533:G533"/>
    <mergeCell ref="B447:B449"/>
    <mergeCell ref="A577:D577"/>
    <mergeCell ref="E577:G577"/>
    <mergeCell ref="J579:Q579"/>
    <mergeCell ref="E576:H576"/>
    <mergeCell ref="J576:M576"/>
    <mergeCell ref="E508:G508"/>
    <mergeCell ref="E528:G528"/>
    <mergeCell ref="I526:J526"/>
    <mergeCell ref="N628:P628"/>
    <mergeCell ref="N571:P571"/>
    <mergeCell ref="B457:G457"/>
    <mergeCell ref="B456:G456"/>
    <mergeCell ref="M470:N470"/>
    <mergeCell ref="O470:P470"/>
    <mergeCell ref="N577:P577"/>
    <mergeCell ref="A547:D547"/>
    <mergeCell ref="E540:G540"/>
    <mergeCell ref="B542:G542"/>
    <mergeCell ref="E567:G567"/>
    <mergeCell ref="N576:Q576"/>
    <mergeCell ref="A570:D570"/>
    <mergeCell ref="J566:Q566"/>
    <mergeCell ref="A565:C565"/>
    <mergeCell ref="L770:T770"/>
    <mergeCell ref="U708:V708"/>
    <mergeCell ref="U709:V709"/>
    <mergeCell ref="U714:V714"/>
    <mergeCell ref="O688:Q688"/>
    <mergeCell ref="R688:T688"/>
    <mergeCell ref="E689:K689"/>
    <mergeCell ref="L689:N689"/>
    <mergeCell ref="O689:Q689"/>
    <mergeCell ref="R689:T689"/>
    <mergeCell ref="L690:N690"/>
    <mergeCell ref="O690:Q690"/>
    <mergeCell ref="R690:T690"/>
    <mergeCell ref="L691:N691"/>
    <mergeCell ref="O691:Q691"/>
    <mergeCell ref="C722:C726"/>
    <mergeCell ref="D722:D723"/>
    <mergeCell ref="C738:K738"/>
    <mergeCell ref="C736:K736"/>
    <mergeCell ref="L736:T736"/>
    <mergeCell ref="R691:T691"/>
    <mergeCell ref="O692:Q692"/>
    <mergeCell ref="R692:T692"/>
    <mergeCell ref="E693:K693"/>
    <mergeCell ref="L693:N693"/>
    <mergeCell ref="O693:Q693"/>
    <mergeCell ref="R693:T693"/>
    <mergeCell ref="E694:K694"/>
    <mergeCell ref="L694:N694"/>
    <mergeCell ref="E703:K703"/>
    <mergeCell ref="L703:N703"/>
    <mergeCell ref="O703:Q703"/>
    <mergeCell ref="C767:K767"/>
    <mergeCell ref="L767:T767"/>
    <mergeCell ref="C768:K768"/>
    <mergeCell ref="L768:T768"/>
    <mergeCell ref="A681:I681"/>
    <mergeCell ref="L741:T741"/>
    <mergeCell ref="L750:T750"/>
    <mergeCell ref="L751:T751"/>
    <mergeCell ref="L757:T757"/>
    <mergeCell ref="L758:T758"/>
    <mergeCell ref="B682:V682"/>
    <mergeCell ref="B685:B727"/>
    <mergeCell ref="C685:K685"/>
    <mergeCell ref="L685:T685"/>
    <mergeCell ref="U685:V686"/>
    <mergeCell ref="L686:N686"/>
    <mergeCell ref="O686:Q686"/>
    <mergeCell ref="R686:T686"/>
    <mergeCell ref="E687:K687"/>
    <mergeCell ref="L687:N687"/>
    <mergeCell ref="O687:Q687"/>
    <mergeCell ref="O694:Q694"/>
    <mergeCell ref="O700:Q700"/>
    <mergeCell ref="R700:T700"/>
    <mergeCell ref="L697:N697"/>
    <mergeCell ref="O697:Q697"/>
    <mergeCell ref="R697:T697"/>
    <mergeCell ref="E700:K700"/>
    <mergeCell ref="R687:T687"/>
    <mergeCell ref="E688:K688"/>
    <mergeCell ref="L688:N688"/>
    <mergeCell ref="L700:N700"/>
    <mergeCell ref="C804:M804"/>
    <mergeCell ref="E785:M785"/>
    <mergeCell ref="E796:M796"/>
    <mergeCell ref="E797:M797"/>
    <mergeCell ref="E800:M800"/>
    <mergeCell ref="E801:M801"/>
    <mergeCell ref="C762:K762"/>
    <mergeCell ref="L772:T772"/>
    <mergeCell ref="E790:M790"/>
    <mergeCell ref="E791:M791"/>
    <mergeCell ref="E792:M792"/>
    <mergeCell ref="E783:M783"/>
    <mergeCell ref="E784:M784"/>
    <mergeCell ref="C769:K769"/>
    <mergeCell ref="L769:T769"/>
    <mergeCell ref="C770:K770"/>
    <mergeCell ref="C778:M778"/>
    <mergeCell ref="N778:V778"/>
    <mergeCell ref="C780:C795"/>
    <mergeCell ref="D780:D786"/>
    <mergeCell ref="E780:M780"/>
    <mergeCell ref="E781:M781"/>
    <mergeCell ref="E782:M782"/>
    <mergeCell ref="D787:D794"/>
    <mergeCell ref="Q794:S794"/>
    <mergeCell ref="T794:V794"/>
    <mergeCell ref="N795:P795"/>
    <mergeCell ref="Q795:S795"/>
    <mergeCell ref="T795:V795"/>
    <mergeCell ref="N802:P802"/>
    <mergeCell ref="Q802:S802"/>
    <mergeCell ref="T802:V802"/>
    <mergeCell ref="T791:V791"/>
    <mergeCell ref="N792:P792"/>
    <mergeCell ref="Q792:S792"/>
    <mergeCell ref="E692:K692"/>
    <mergeCell ref="L692:N692"/>
    <mergeCell ref="D795:M795"/>
    <mergeCell ref="C796:C799"/>
    <mergeCell ref="C764:K764"/>
    <mergeCell ref="C763:K763"/>
    <mergeCell ref="C772:K772"/>
    <mergeCell ref="L762:T762"/>
    <mergeCell ref="L763:T763"/>
    <mergeCell ref="L764:T764"/>
    <mergeCell ref="I506:I519"/>
    <mergeCell ref="N537:Q537"/>
    <mergeCell ref="B678:E678"/>
    <mergeCell ref="A613:D613"/>
    <mergeCell ref="E613:G613"/>
    <mergeCell ref="J613:M613"/>
    <mergeCell ref="N613:P613"/>
    <mergeCell ref="A628:D628"/>
    <mergeCell ref="E628:G628"/>
    <mergeCell ref="J628:M628"/>
    <mergeCell ref="A610:D610"/>
    <mergeCell ref="E610:G610"/>
    <mergeCell ref="H671:J671"/>
    <mergeCell ref="H670:J670"/>
    <mergeCell ref="F673:G673"/>
    <mergeCell ref="A675:I675"/>
    <mergeCell ref="A669:C669"/>
    <mergeCell ref="A670:C670"/>
    <mergeCell ref="N575:P575"/>
    <mergeCell ref="N550:P550"/>
    <mergeCell ref="R694:T694"/>
    <mergeCell ref="E697:K697"/>
    <mergeCell ref="D803:M803"/>
    <mergeCell ref="L760:T760"/>
    <mergeCell ref="L739:T739"/>
    <mergeCell ref="C743:K743"/>
    <mergeCell ref="L743:T743"/>
    <mergeCell ref="L748:T748"/>
    <mergeCell ref="L761:T761"/>
    <mergeCell ref="C761:K761"/>
    <mergeCell ref="C760:K760"/>
    <mergeCell ref="C758:K758"/>
    <mergeCell ref="C757:K757"/>
    <mergeCell ref="C751:K751"/>
    <mergeCell ref="C750:K750"/>
    <mergeCell ref="C749:K749"/>
    <mergeCell ref="C766:K766"/>
    <mergeCell ref="L766:T766"/>
    <mergeCell ref="C771:K771"/>
    <mergeCell ref="L771:T771"/>
    <mergeCell ref="C800:C803"/>
    <mergeCell ref="D801:D802"/>
    <mergeCell ref="E802:M802"/>
    <mergeCell ref="T801:V801"/>
    <mergeCell ref="N790:P790"/>
    <mergeCell ref="Q790:S790"/>
    <mergeCell ref="T790:V790"/>
    <mergeCell ref="N791:P791"/>
    <mergeCell ref="Q791:S791"/>
    <mergeCell ref="H673:J673"/>
    <mergeCell ref="H672:J672"/>
    <mergeCell ref="K43:V43"/>
    <mergeCell ref="U687:V706"/>
    <mergeCell ref="S495:V495"/>
    <mergeCell ref="J510:M510"/>
    <mergeCell ref="N510:P510"/>
    <mergeCell ref="J513:M513"/>
    <mergeCell ref="S511:V511"/>
    <mergeCell ref="I545:I558"/>
    <mergeCell ref="N552:P552"/>
    <mergeCell ref="A533:D533"/>
    <mergeCell ref="J547:M547"/>
    <mergeCell ref="A549:D549"/>
    <mergeCell ref="D526:E526"/>
    <mergeCell ref="S531:U531"/>
    <mergeCell ref="R605:R618"/>
    <mergeCell ref="H669:J669"/>
    <mergeCell ref="H668:J668"/>
    <mergeCell ref="K53:V53"/>
    <mergeCell ref="C317:U319"/>
    <mergeCell ref="D666:E666"/>
    <mergeCell ref="P666:R666"/>
    <mergeCell ref="B430:E431"/>
    <mergeCell ref="J575:M575"/>
    <mergeCell ref="M431:O431"/>
    <mergeCell ref="B432:E433"/>
    <mergeCell ref="D565:E565"/>
    <mergeCell ref="F565:H565"/>
    <mergeCell ref="M565:O565"/>
    <mergeCell ref="A498:D498"/>
    <mergeCell ref="E498:G498"/>
    <mergeCell ref="J498:M498"/>
    <mergeCell ref="E530:G530"/>
    <mergeCell ref="I432:K432"/>
    <mergeCell ref="M426:O426"/>
    <mergeCell ref="K386:M386"/>
    <mergeCell ref="N412:O412"/>
    <mergeCell ref="C399:E399"/>
    <mergeCell ref="C400:E400"/>
    <mergeCell ref="H412:I412"/>
    <mergeCell ref="A421:G421"/>
    <mergeCell ref="M427:O427"/>
    <mergeCell ref="K385:P385"/>
    <mergeCell ref="R387:U387"/>
    <mergeCell ref="S468:T468"/>
    <mergeCell ref="S469:T469"/>
    <mergeCell ref="M544:O544"/>
    <mergeCell ref="A544:C544"/>
    <mergeCell ref="N533:P533"/>
    <mergeCell ref="E529:G529"/>
    <mergeCell ref="A491:D491"/>
    <mergeCell ref="N498:P498"/>
    <mergeCell ref="N499:P499"/>
    <mergeCell ref="J489:M489"/>
    <mergeCell ref="M471:N471"/>
    <mergeCell ref="K472:L472"/>
    <mergeCell ref="M472:N472"/>
    <mergeCell ref="A506:H506"/>
    <mergeCell ref="J519:Q519"/>
    <mergeCell ref="L446:P446"/>
    <mergeCell ref="B450:K450"/>
    <mergeCell ref="B446:K446"/>
    <mergeCell ref="J518:M518"/>
    <mergeCell ref="N518:P518"/>
    <mergeCell ref="A505:C505"/>
    <mergeCell ref="F672:G672"/>
    <mergeCell ref="A666:C666"/>
    <mergeCell ref="L670:N670"/>
    <mergeCell ref="F671:G671"/>
    <mergeCell ref="A671:C671"/>
    <mergeCell ref="F668:G668"/>
    <mergeCell ref="A667:C667"/>
    <mergeCell ref="A668:C668"/>
    <mergeCell ref="F666:G666"/>
    <mergeCell ref="P673:Q673"/>
    <mergeCell ref="P672:Q672"/>
    <mergeCell ref="P671:Q671"/>
    <mergeCell ref="P670:Q670"/>
    <mergeCell ref="P669:Q669"/>
    <mergeCell ref="P668:Q668"/>
    <mergeCell ref="P667:Q667"/>
    <mergeCell ref="L673:N673"/>
    <mergeCell ref="L672:N672"/>
    <mergeCell ref="L671:N671"/>
    <mergeCell ref="L669:N669"/>
    <mergeCell ref="H666:K666"/>
    <mergeCell ref="L666:O666"/>
    <mergeCell ref="F669:G669"/>
    <mergeCell ref="Q166:S166"/>
    <mergeCell ref="Q165:S165"/>
    <mergeCell ref="Q164:S164"/>
    <mergeCell ref="N146:P146"/>
    <mergeCell ref="Q146:S146"/>
    <mergeCell ref="L137:O137"/>
    <mergeCell ref="B155:H155"/>
    <mergeCell ref="Q173:S173"/>
    <mergeCell ref="Q172:S172"/>
    <mergeCell ref="A294:F294"/>
    <mergeCell ref="C244:P244"/>
    <mergeCell ref="I163:P163"/>
    <mergeCell ref="B164:H164"/>
    <mergeCell ref="H667:J667"/>
    <mergeCell ref="F667:G667"/>
    <mergeCell ref="S538:U538"/>
    <mergeCell ref="N553:P553"/>
    <mergeCell ref="A546:D546"/>
    <mergeCell ref="S550:V550"/>
    <mergeCell ref="C402:E402"/>
    <mergeCell ref="T401:U401"/>
    <mergeCell ref="M425:P425"/>
    <mergeCell ref="B426:E427"/>
    <mergeCell ref="K388:L388"/>
    <mergeCell ref="Q192:S192"/>
    <mergeCell ref="B417:D417"/>
    <mergeCell ref="R385:V386"/>
    <mergeCell ref="R389:U389"/>
    <mergeCell ref="B390:D390"/>
    <mergeCell ref="E390:F390"/>
    <mergeCell ref="Q431:S431"/>
    <mergeCell ref="Q432:S432"/>
    <mergeCell ref="H108:I108"/>
    <mergeCell ref="J108:K108"/>
    <mergeCell ref="D109:E109"/>
    <mergeCell ref="F109:G109"/>
    <mergeCell ref="C234:U234"/>
    <mergeCell ref="K298:L298"/>
    <mergeCell ref="A306:D306"/>
    <mergeCell ref="R311:U316"/>
    <mergeCell ref="J109:K109"/>
    <mergeCell ref="F108:G108"/>
    <mergeCell ref="C299:U300"/>
    <mergeCell ref="C301:U303"/>
    <mergeCell ref="D108:E108"/>
    <mergeCell ref="Q163:S163"/>
    <mergeCell ref="Q181:S181"/>
    <mergeCell ref="H126:J126"/>
    <mergeCell ref="L126:N126"/>
    <mergeCell ref="B204:S204"/>
    <mergeCell ref="G315:P315"/>
    <mergeCell ref="C315:F315"/>
    <mergeCell ref="B167:H167"/>
    <mergeCell ref="B285:U286"/>
    <mergeCell ref="B109:C109"/>
    <mergeCell ref="Q156:S156"/>
    <mergeCell ref="B171:H171"/>
    <mergeCell ref="I175:P175"/>
    <mergeCell ref="A224:A226"/>
    <mergeCell ref="K295:L295"/>
    <mergeCell ref="Q189:S189"/>
    <mergeCell ref="Q190:S190"/>
    <mergeCell ref="Q191:S191"/>
    <mergeCell ref="B124:G124"/>
    <mergeCell ref="C348:E348"/>
    <mergeCell ref="C349:E349"/>
    <mergeCell ref="C350:E350"/>
    <mergeCell ref="N529:P529"/>
    <mergeCell ref="A576:D576"/>
    <mergeCell ref="S532:V532"/>
    <mergeCell ref="S535:V535"/>
    <mergeCell ref="J549:M549"/>
    <mergeCell ref="N549:P549"/>
    <mergeCell ref="A551:D551"/>
    <mergeCell ref="J546:M546"/>
    <mergeCell ref="A545:H545"/>
    <mergeCell ref="N551:P551"/>
    <mergeCell ref="A552:D552"/>
    <mergeCell ref="E552:G552"/>
    <mergeCell ref="E549:G549"/>
    <mergeCell ref="J571:M571"/>
    <mergeCell ref="S529:U529"/>
    <mergeCell ref="S530:U530"/>
    <mergeCell ref="S553:V553"/>
    <mergeCell ref="S533:U533"/>
    <mergeCell ref="E553:G553"/>
    <mergeCell ref="J553:M553"/>
    <mergeCell ref="J551:M551"/>
    <mergeCell ref="Q433:S433"/>
    <mergeCell ref="E385:J385"/>
    <mergeCell ref="J555:M555"/>
    <mergeCell ref="N555:Q555"/>
    <mergeCell ref="J557:M557"/>
    <mergeCell ref="N568:P568"/>
    <mergeCell ref="A554:D554"/>
    <mergeCell ref="A555:D555"/>
    <mergeCell ref="A569:D569"/>
    <mergeCell ref="E569:G569"/>
    <mergeCell ref="J569:M569"/>
    <mergeCell ref="E555:H555"/>
    <mergeCell ref="J574:M574"/>
    <mergeCell ref="N574:P574"/>
    <mergeCell ref="B563:G563"/>
    <mergeCell ref="A572:D572"/>
    <mergeCell ref="E572:G572"/>
    <mergeCell ref="P565:Q565"/>
    <mergeCell ref="E574:G574"/>
    <mergeCell ref="E554:G554"/>
    <mergeCell ref="J558:Q558"/>
    <mergeCell ref="E568:G568"/>
    <mergeCell ref="J568:M568"/>
    <mergeCell ref="N573:P573"/>
    <mergeCell ref="A568:D568"/>
    <mergeCell ref="N788:P788"/>
    <mergeCell ref="Q788:S788"/>
    <mergeCell ref="T788:V788"/>
    <mergeCell ref="N789:P789"/>
    <mergeCell ref="Q789:S789"/>
    <mergeCell ref="T789:V789"/>
    <mergeCell ref="Q786:S786"/>
    <mergeCell ref="T786:V786"/>
    <mergeCell ref="N787:P787"/>
    <mergeCell ref="Q787:S787"/>
    <mergeCell ref="T792:V792"/>
    <mergeCell ref="N793:P793"/>
    <mergeCell ref="Q793:S793"/>
    <mergeCell ref="T793:V793"/>
    <mergeCell ref="N794:P794"/>
    <mergeCell ref="B683:V683"/>
    <mergeCell ref="A558:D558"/>
    <mergeCell ref="A592:D592"/>
    <mergeCell ref="E592:G592"/>
    <mergeCell ref="N578:P578"/>
    <mergeCell ref="M622:O622"/>
    <mergeCell ref="S589:V589"/>
    <mergeCell ref="S593:V593"/>
    <mergeCell ref="S610:V610"/>
    <mergeCell ref="S613:V613"/>
    <mergeCell ref="E695:K695"/>
    <mergeCell ref="E696:K696"/>
    <mergeCell ref="F678:M678"/>
    <mergeCell ref="A672:C672"/>
    <mergeCell ref="A673:C673"/>
    <mergeCell ref="B679:E679"/>
    <mergeCell ref="F679:L679"/>
    <mergeCell ref="N805:P805"/>
    <mergeCell ref="Q805:S805"/>
    <mergeCell ref="T805:V805"/>
    <mergeCell ref="N806:P806"/>
    <mergeCell ref="Q806:S806"/>
    <mergeCell ref="T806:V806"/>
    <mergeCell ref="N796:P796"/>
    <mergeCell ref="Q796:S796"/>
    <mergeCell ref="T796:V796"/>
    <mergeCell ref="N797:P797"/>
    <mergeCell ref="Q797:S797"/>
    <mergeCell ref="T797:V797"/>
    <mergeCell ref="N798:P798"/>
    <mergeCell ref="Q798:S798"/>
    <mergeCell ref="T798:V798"/>
    <mergeCell ref="N799:P799"/>
    <mergeCell ref="Q799:S799"/>
    <mergeCell ref="T799:V799"/>
    <mergeCell ref="N800:P800"/>
    <mergeCell ref="Q800:S800"/>
    <mergeCell ref="T800:V800"/>
    <mergeCell ref="N801:P801"/>
    <mergeCell ref="Q801:S801"/>
    <mergeCell ref="N803:P803"/>
    <mergeCell ref="Q803:S803"/>
    <mergeCell ref="T803:V803"/>
    <mergeCell ref="N804:P804"/>
    <mergeCell ref="Q804:S804"/>
    <mergeCell ref="T804:V804"/>
    <mergeCell ref="O702:Q702"/>
    <mergeCell ref="R701:T701"/>
    <mergeCell ref="R702:T702"/>
    <mergeCell ref="E794:M794"/>
    <mergeCell ref="E793:M793"/>
    <mergeCell ref="E789:M789"/>
    <mergeCell ref="E788:M788"/>
    <mergeCell ref="E787:M787"/>
    <mergeCell ref="E786:M786"/>
    <mergeCell ref="N779:P779"/>
    <mergeCell ref="Q779:S779"/>
    <mergeCell ref="T779:V779"/>
    <mergeCell ref="N780:P780"/>
    <mergeCell ref="Q780:S780"/>
    <mergeCell ref="T780:V780"/>
    <mergeCell ref="N781:P781"/>
    <mergeCell ref="Q781:S781"/>
    <mergeCell ref="T781:V781"/>
    <mergeCell ref="N782:P782"/>
    <mergeCell ref="Q782:S782"/>
    <mergeCell ref="T782:V782"/>
    <mergeCell ref="N783:P783"/>
    <mergeCell ref="Q783:S783"/>
    <mergeCell ref="T783:V783"/>
    <mergeCell ref="N784:P784"/>
    <mergeCell ref="Q784:S784"/>
    <mergeCell ref="T784:V784"/>
    <mergeCell ref="N785:P785"/>
    <mergeCell ref="Q785:S785"/>
    <mergeCell ref="T785:V785"/>
    <mergeCell ref="N786:P786"/>
    <mergeCell ref="T787:V787"/>
    <mergeCell ref="L755:T755"/>
    <mergeCell ref="C756:K756"/>
    <mergeCell ref="L756:T756"/>
    <mergeCell ref="L746:T746"/>
    <mergeCell ref="L747:T747"/>
    <mergeCell ref="C737:K737"/>
    <mergeCell ref="L737:T737"/>
    <mergeCell ref="C752:K752"/>
    <mergeCell ref="C753:K753"/>
    <mergeCell ref="C754:K754"/>
    <mergeCell ref="L752:T752"/>
    <mergeCell ref="L753:T753"/>
    <mergeCell ref="L754:T754"/>
    <mergeCell ref="L695:N695"/>
    <mergeCell ref="L696:N696"/>
    <mergeCell ref="O695:Q695"/>
    <mergeCell ref="O696:Q696"/>
    <mergeCell ref="R695:T695"/>
    <mergeCell ref="R696:T696"/>
    <mergeCell ref="E698:K698"/>
    <mergeCell ref="L698:N698"/>
    <mergeCell ref="O698:Q698"/>
    <mergeCell ref="R698:T698"/>
    <mergeCell ref="E699:K699"/>
    <mergeCell ref="L699:N699"/>
    <mergeCell ref="O699:Q699"/>
    <mergeCell ref="R699:T699"/>
    <mergeCell ref="E701:K701"/>
    <mergeCell ref="E702:K702"/>
    <mergeCell ref="L701:N701"/>
    <mergeCell ref="L702:N702"/>
    <mergeCell ref="O701:Q701"/>
  </mergeCells>
  <phoneticPr fontId="10"/>
  <conditionalFormatting sqref="J330 G292 P292 K292 I292 I296:I297 K296:K297 P296:P297 G296:G297 R296:R297 G6 O4:R5 G4:J5 G316:L316 G314:L314 F109:K109 D367 H367 L367 T367 P367">
    <cfRule type="cellIs" dxfId="543" priority="1256" operator="equal">
      <formula>""</formula>
    </cfRule>
  </conditionalFormatting>
  <conditionalFormatting sqref="D43:J43">
    <cfRule type="cellIs" dxfId="542" priority="1254" operator="equal">
      <formula>""</formula>
    </cfRule>
  </conditionalFormatting>
  <conditionalFormatting sqref="D44:J44">
    <cfRule type="cellIs" dxfId="541" priority="1253" operator="equal">
      <formula>""</formula>
    </cfRule>
  </conditionalFormatting>
  <conditionalFormatting sqref="D46:J46 B371">
    <cfRule type="cellIs" dxfId="540" priority="1252" operator="equal">
      <formula>""</formula>
    </cfRule>
  </conditionalFormatting>
  <conditionalFormatting sqref="D52:J52">
    <cfRule type="cellIs" dxfId="539" priority="1251" operator="equal">
      <formula>""</formula>
    </cfRule>
  </conditionalFormatting>
  <conditionalFormatting sqref="E48:F48">
    <cfRule type="cellIs" dxfId="538" priority="1250" operator="equal">
      <formula>""</formula>
    </cfRule>
  </conditionalFormatting>
  <conditionalFormatting sqref="B59 F59">
    <cfRule type="cellIs" dxfId="537" priority="1248" operator="equal">
      <formula>""</formula>
    </cfRule>
  </conditionalFormatting>
  <conditionalFormatting sqref="I426:I433 M426:M433">
    <cfRule type="cellIs" dxfId="536" priority="1244" operator="equal">
      <formula>""</formula>
    </cfRule>
  </conditionalFormatting>
  <conditionalFormatting sqref="L447:O447 L449:O450 L448">
    <cfRule type="cellIs" dxfId="535" priority="1243" operator="equal">
      <formula>""</formula>
    </cfRule>
  </conditionalFormatting>
  <conditionalFormatting sqref="G312:L313">
    <cfRule type="cellIs" dxfId="534" priority="1241" operator="equal">
      <formula>""</formula>
    </cfRule>
  </conditionalFormatting>
  <conditionalFormatting sqref="Q154 Q170:Q192">
    <cfRule type="cellIs" dxfId="533" priority="1216" operator="equal">
      <formula>""</formula>
    </cfRule>
    <cfRule type="cellIs" dxfId="532" priority="1239" operator="equal">
      <formula>""</formula>
    </cfRule>
  </conditionalFormatting>
  <conditionalFormatting sqref="B68 G68:I68 E76 E86:S86 G76:N76">
    <cfRule type="cellIs" dxfId="531" priority="1230" operator="equal">
      <formula>""</formula>
    </cfRule>
  </conditionalFormatting>
  <conditionalFormatting sqref="H135:J139">
    <cfRule type="cellIs" dxfId="530" priority="1228" operator="equal">
      <formula>""</formula>
    </cfRule>
  </conditionalFormatting>
  <conditionalFormatting sqref="I50:J50">
    <cfRule type="cellIs" dxfId="529" priority="1212" operator="equal">
      <formula>""</formula>
    </cfRule>
  </conditionalFormatting>
  <conditionalFormatting sqref="Q157:Q168">
    <cfRule type="cellIs" dxfId="528" priority="1204" operator="equal">
      <formula>""</formula>
    </cfRule>
    <cfRule type="cellIs" dxfId="527" priority="1205" operator="equal">
      <formula>""</formula>
    </cfRule>
  </conditionalFormatting>
  <conditionalFormatting sqref="J331:J333 J335">
    <cfRule type="cellIs" dxfId="526" priority="1203" operator="equal">
      <formula>""</formula>
    </cfRule>
  </conditionalFormatting>
  <conditionalFormatting sqref="L330">
    <cfRule type="cellIs" dxfId="525" priority="1202" operator="equal">
      <formula>""</formula>
    </cfRule>
  </conditionalFormatting>
  <conditionalFormatting sqref="L331:L333 L335">
    <cfRule type="cellIs" dxfId="524" priority="1201" operator="equal">
      <formula>""</formula>
    </cfRule>
  </conditionalFormatting>
  <conditionalFormatting sqref="F330">
    <cfRule type="cellIs" dxfId="523" priority="1200" operator="equal">
      <formula>""</formula>
    </cfRule>
  </conditionalFormatting>
  <conditionalFormatting sqref="F331:F333 F335">
    <cfRule type="cellIs" dxfId="522" priority="1199" operator="equal">
      <formula>""</formula>
    </cfRule>
  </conditionalFormatting>
  <conditionalFormatting sqref="H330">
    <cfRule type="cellIs" dxfId="521" priority="1198" operator="equal">
      <formula>""</formula>
    </cfRule>
  </conditionalFormatting>
  <conditionalFormatting sqref="H331:H333 H335">
    <cfRule type="cellIs" dxfId="520" priority="1197" operator="equal">
      <formula>""</formula>
    </cfRule>
  </conditionalFormatting>
  <conditionalFormatting sqref="L118">
    <cfRule type="cellIs" dxfId="519" priority="1196" operator="equal">
      <formula>""</formula>
    </cfRule>
  </conditionalFormatting>
  <conditionalFormatting sqref="Q169">
    <cfRule type="cellIs" dxfId="518" priority="1184" operator="equal">
      <formula>""</formula>
    </cfRule>
    <cfRule type="cellIs" dxfId="517" priority="1185" operator="equal">
      <formula>""</formula>
    </cfRule>
  </conditionalFormatting>
  <conditionalFormatting sqref="Q156">
    <cfRule type="cellIs" dxfId="516" priority="1180" operator="equal">
      <formula>""</formula>
    </cfRule>
    <cfRule type="cellIs" dxfId="515" priority="1181" operator="equal">
      <formula>""</formula>
    </cfRule>
  </conditionalFormatting>
  <conditionalFormatting sqref="K388">
    <cfRule type="cellIs" dxfId="514" priority="1081" operator="equal">
      <formula>""</formula>
    </cfRule>
  </conditionalFormatting>
  <conditionalFormatting sqref="N388">
    <cfRule type="cellIs" dxfId="513" priority="1080" operator="equal">
      <formula>""</formula>
    </cfRule>
  </conditionalFormatting>
  <conditionalFormatting sqref="E387:E388">
    <cfRule type="cellIs" dxfId="512" priority="1079" operator="equal">
      <formula>""</formula>
    </cfRule>
  </conditionalFormatting>
  <conditionalFormatting sqref="H387:H388">
    <cfRule type="cellIs" dxfId="511" priority="1078" operator="equal">
      <formula>""</formula>
    </cfRule>
  </conditionalFormatting>
  <conditionalFormatting sqref="K412:K416 K418">
    <cfRule type="cellIs" dxfId="510" priority="1077" operator="equal">
      <formula>""</formula>
    </cfRule>
  </conditionalFormatting>
  <conditionalFormatting sqref="N412:N416 N418">
    <cfRule type="cellIs" dxfId="509" priority="1076" operator="equal">
      <formula>""</formula>
    </cfRule>
  </conditionalFormatting>
  <conditionalFormatting sqref="E412:E416 E418">
    <cfRule type="cellIs" dxfId="508" priority="1075" operator="equal">
      <formula>""</formula>
    </cfRule>
  </conditionalFormatting>
  <conditionalFormatting sqref="H412:H416 H418">
    <cfRule type="cellIs" dxfId="507" priority="1074" operator="equal">
      <formula>""</formula>
    </cfRule>
  </conditionalFormatting>
  <conditionalFormatting sqref="G81 I81:P81">
    <cfRule type="cellIs" dxfId="506" priority="1073" operator="equal">
      <formula>""</formula>
    </cfRule>
  </conditionalFormatting>
  <conditionalFormatting sqref="Q81:T81">
    <cfRule type="cellIs" dxfId="505" priority="1072" operator="equal">
      <formula>""</formula>
    </cfRule>
  </conditionalFormatting>
  <conditionalFormatting sqref="L123:N125">
    <cfRule type="cellIs" dxfId="504" priority="1068" operator="equal">
      <formula>""</formula>
    </cfRule>
  </conditionalFormatting>
  <conditionalFormatting sqref="G293:G295 P293:P295 K293:K295 I293:I295">
    <cfRule type="cellIs" dxfId="503" priority="1060" operator="equal">
      <formula>""</formula>
    </cfRule>
  </conditionalFormatting>
  <conditionalFormatting sqref="N489 L202 X201:X218">
    <cfRule type="cellIs" dxfId="502" priority="985" stopIfTrue="1" operator="equal">
      <formula>""</formula>
    </cfRule>
  </conditionalFormatting>
  <conditionalFormatting sqref="E488">
    <cfRule type="cellIs" dxfId="501" priority="991" stopIfTrue="1" operator="equal">
      <formula>""</formula>
    </cfRule>
  </conditionalFormatting>
  <conditionalFormatting sqref="E489:E490 E493 E496 E498:E500">
    <cfRule type="cellIs" dxfId="500" priority="996" stopIfTrue="1" operator="equal">
      <formula>""</formula>
    </cfRule>
  </conditionalFormatting>
  <conditionalFormatting sqref="E494 E491">
    <cfRule type="cellIs" dxfId="499" priority="990" stopIfTrue="1" operator="equal">
      <formula>""</formula>
    </cfRule>
  </conditionalFormatting>
  <conditionalFormatting sqref="N490 N493 N496 N498:N499">
    <cfRule type="cellIs" dxfId="498" priority="989" stopIfTrue="1" operator="equal">
      <formula>""</formula>
    </cfRule>
  </conditionalFormatting>
  <conditionalFormatting sqref="N488">
    <cfRule type="cellIs" dxfId="497" priority="988" stopIfTrue="1" operator="equal">
      <formula>""</formula>
    </cfRule>
  </conditionalFormatting>
  <conditionalFormatting sqref="P486:Q486">
    <cfRule type="cellIs" dxfId="496" priority="993" operator="equal">
      <formula>""</formula>
    </cfRule>
  </conditionalFormatting>
  <conditionalFormatting sqref="E528">
    <cfRule type="cellIs" dxfId="495" priority="979" stopIfTrue="1" operator="equal">
      <formula>""</formula>
    </cfRule>
  </conditionalFormatting>
  <conditionalFormatting sqref="N494 N491">
    <cfRule type="cellIs" dxfId="494" priority="987" stopIfTrue="1" operator="equal">
      <formula>""</formula>
    </cfRule>
  </conditionalFormatting>
  <conditionalFormatting sqref="F334">
    <cfRule type="cellIs" dxfId="493" priority="998" operator="equal">
      <formula>""</formula>
    </cfRule>
  </conditionalFormatting>
  <conditionalFormatting sqref="H334">
    <cfRule type="cellIs" dxfId="492" priority="997" operator="equal">
      <formula>""</formula>
    </cfRule>
  </conditionalFormatting>
  <conditionalFormatting sqref="E529:E530 E533 E536 E538:E540">
    <cfRule type="cellIs" dxfId="491" priority="982" stopIfTrue="1" operator="equal">
      <formula>""</formula>
    </cfRule>
  </conditionalFormatting>
  <conditionalFormatting sqref="J334">
    <cfRule type="cellIs" dxfId="490" priority="1000" operator="equal">
      <formula>""</formula>
    </cfRule>
  </conditionalFormatting>
  <conditionalFormatting sqref="E81">
    <cfRule type="cellIs" dxfId="489" priority="1005" operator="equal">
      <formula>""</formula>
    </cfRule>
  </conditionalFormatting>
  <conditionalFormatting sqref="A290">
    <cfRule type="cellIs" dxfId="488" priority="1001" operator="equal">
      <formula>""</formula>
    </cfRule>
    <cfRule type="cellIs" dxfId="487" priority="1002" operator="equal">
      <formula>""</formula>
    </cfRule>
  </conditionalFormatting>
  <conditionalFormatting sqref="L334">
    <cfRule type="cellIs" dxfId="486" priority="999" operator="equal">
      <formula>""</formula>
    </cfRule>
  </conditionalFormatting>
  <conditionalFormatting sqref="D486">
    <cfRule type="cellIs" dxfId="485" priority="992" operator="equal">
      <formula>""</formula>
    </cfRule>
  </conditionalFormatting>
  <conditionalFormatting sqref="I486:J486">
    <cfRule type="cellIs" dxfId="484" priority="986" operator="equal">
      <formula>""</formula>
    </cfRule>
  </conditionalFormatting>
  <conditionalFormatting sqref="E497:H497">
    <cfRule type="cellIs" dxfId="483" priority="984" operator="equal">
      <formula>""</formula>
    </cfRule>
  </conditionalFormatting>
  <conditionalFormatting sqref="N497:Q497">
    <cfRule type="cellIs" dxfId="482" priority="983" operator="equal">
      <formula>""</formula>
    </cfRule>
  </conditionalFormatting>
  <conditionalFormatting sqref="P526:Q526">
    <cfRule type="cellIs" dxfId="481" priority="981" operator="equal">
      <formula>""</formula>
    </cfRule>
  </conditionalFormatting>
  <conditionalFormatting sqref="D526">
    <cfRule type="cellIs" dxfId="480" priority="980" operator="equal">
      <formula>""</formula>
    </cfRule>
  </conditionalFormatting>
  <conditionalFormatting sqref="E534 E531">
    <cfRule type="cellIs" dxfId="479" priority="978" stopIfTrue="1" operator="equal">
      <formula>""</formula>
    </cfRule>
  </conditionalFormatting>
  <conditionalFormatting sqref="N530 N533 N536 N538:N539">
    <cfRule type="cellIs" dxfId="478" priority="977" stopIfTrue="1" operator="equal">
      <formula>""</formula>
    </cfRule>
  </conditionalFormatting>
  <conditionalFormatting sqref="N528">
    <cfRule type="cellIs" dxfId="477" priority="976" stopIfTrue="1" operator="equal">
      <formula>""</formula>
    </cfRule>
  </conditionalFormatting>
  <conditionalFormatting sqref="N534 N531">
    <cfRule type="cellIs" dxfId="476" priority="975" stopIfTrue="1" operator="equal">
      <formula>""</formula>
    </cfRule>
  </conditionalFormatting>
  <conditionalFormatting sqref="I526:J526">
    <cfRule type="cellIs" dxfId="475" priority="974" operator="equal">
      <formula>""</formula>
    </cfRule>
  </conditionalFormatting>
  <conditionalFormatting sqref="N529">
    <cfRule type="cellIs" dxfId="474" priority="973" stopIfTrue="1" operator="equal">
      <formula>""</formula>
    </cfRule>
  </conditionalFormatting>
  <conditionalFormatting sqref="E537:H537">
    <cfRule type="cellIs" dxfId="473" priority="972" operator="equal">
      <formula>""</formula>
    </cfRule>
  </conditionalFormatting>
  <conditionalFormatting sqref="N537:Q537">
    <cfRule type="cellIs" dxfId="472" priority="971" operator="equal">
      <formula>""</formula>
    </cfRule>
  </conditionalFormatting>
  <conditionalFormatting sqref="K389">
    <cfRule type="cellIs" dxfId="471" priority="910" operator="equal">
      <formula>""</formula>
    </cfRule>
  </conditionalFormatting>
  <conditionalFormatting sqref="N389">
    <cfRule type="cellIs" dxfId="470" priority="909" operator="equal">
      <formula>""</formula>
    </cfRule>
  </conditionalFormatting>
  <conditionalFormatting sqref="E389">
    <cfRule type="cellIs" dxfId="469" priority="908" operator="equal">
      <formula>""</formula>
    </cfRule>
  </conditionalFormatting>
  <conditionalFormatting sqref="H389">
    <cfRule type="cellIs" dxfId="468" priority="907" operator="equal">
      <formula>""</formula>
    </cfRule>
  </conditionalFormatting>
  <conditionalFormatting sqref="Q155">
    <cfRule type="cellIs" dxfId="467" priority="861" operator="equal">
      <formula>""</formula>
    </cfRule>
    <cfRule type="cellIs" dxfId="466" priority="862" operator="equal">
      <formula>""</formula>
    </cfRule>
  </conditionalFormatting>
  <conditionalFormatting sqref="R292">
    <cfRule type="cellIs" dxfId="465" priority="860" operator="equal">
      <formula>""</formula>
    </cfRule>
  </conditionalFormatting>
  <conditionalFormatting sqref="R293:R295">
    <cfRule type="cellIs" dxfId="464" priority="859" operator="equal">
      <formula>""</formula>
    </cfRule>
  </conditionalFormatting>
  <conditionalFormatting sqref="H123:J125">
    <cfRule type="cellIs" dxfId="463" priority="853" operator="equal">
      <formula>""</formula>
    </cfRule>
  </conditionalFormatting>
  <conditionalFormatting sqref="L126:N126">
    <cfRule type="cellIs" dxfId="462" priority="852" operator="equal">
      <formula>""</formula>
    </cfRule>
  </conditionalFormatting>
  <conditionalFormatting sqref="H126:J126">
    <cfRule type="cellIs" dxfId="461" priority="851" operator="equal">
      <formula>""</formula>
    </cfRule>
  </conditionalFormatting>
  <conditionalFormatting sqref="R330">
    <cfRule type="cellIs" dxfId="460" priority="841" operator="equal">
      <formula>""</formula>
    </cfRule>
  </conditionalFormatting>
  <conditionalFormatting sqref="R331:R333 R335">
    <cfRule type="cellIs" dxfId="459" priority="840" operator="equal">
      <formula>""</formula>
    </cfRule>
  </conditionalFormatting>
  <conditionalFormatting sqref="N330">
    <cfRule type="cellIs" dxfId="458" priority="837" operator="equal">
      <formula>""</formula>
    </cfRule>
  </conditionalFormatting>
  <conditionalFormatting sqref="N331:N333 N335">
    <cfRule type="cellIs" dxfId="457" priority="836" operator="equal">
      <formula>""</formula>
    </cfRule>
  </conditionalFormatting>
  <conditionalFormatting sqref="P330">
    <cfRule type="cellIs" dxfId="456" priority="835" operator="equal">
      <formula>""</formula>
    </cfRule>
  </conditionalFormatting>
  <conditionalFormatting sqref="P331:P333 P335">
    <cfRule type="cellIs" dxfId="455" priority="834" operator="equal">
      <formula>""</formula>
    </cfRule>
  </conditionalFormatting>
  <conditionalFormatting sqref="N334">
    <cfRule type="cellIs" dxfId="454" priority="831" operator="equal">
      <formula>""</formula>
    </cfRule>
  </conditionalFormatting>
  <conditionalFormatting sqref="P334">
    <cfRule type="cellIs" dxfId="453" priority="830" operator="equal">
      <formula>""</formula>
    </cfRule>
  </conditionalFormatting>
  <conditionalFormatting sqref="R334">
    <cfRule type="cellIs" dxfId="452" priority="833" operator="equal">
      <formula>""</formula>
    </cfRule>
  </conditionalFormatting>
  <conditionalFormatting sqref="K387">
    <cfRule type="cellIs" dxfId="451" priority="829" operator="equal">
      <formula>""</formula>
    </cfRule>
  </conditionalFormatting>
  <conditionalFormatting sqref="N387">
    <cfRule type="cellIs" dxfId="450" priority="828" operator="equal">
      <formula>""</formula>
    </cfRule>
  </conditionalFormatting>
  <conditionalFormatting sqref="K417">
    <cfRule type="cellIs" dxfId="449" priority="827" operator="equal">
      <formula>""</formula>
    </cfRule>
  </conditionalFormatting>
  <conditionalFormatting sqref="N417">
    <cfRule type="cellIs" dxfId="448" priority="826" operator="equal">
      <formula>""</formula>
    </cfRule>
  </conditionalFormatting>
  <conditionalFormatting sqref="E417">
    <cfRule type="cellIs" dxfId="447" priority="825" operator="equal">
      <formula>""</formula>
    </cfRule>
  </conditionalFormatting>
  <conditionalFormatting sqref="H417">
    <cfRule type="cellIs" dxfId="446" priority="824" operator="equal">
      <formula>""</formula>
    </cfRule>
  </conditionalFormatting>
  <conditionalFormatting sqref="E546">
    <cfRule type="cellIs" dxfId="445" priority="759" stopIfTrue="1" operator="equal">
      <formula>""</formula>
    </cfRule>
  </conditionalFormatting>
  <conditionalFormatting sqref="E547:E548 E551 E554 E556:E558">
    <cfRule type="cellIs" dxfId="444" priority="762" stopIfTrue="1" operator="equal">
      <formula>""</formula>
    </cfRule>
  </conditionalFormatting>
  <conditionalFormatting sqref="P544:Q544">
    <cfRule type="cellIs" dxfId="443" priority="761" operator="equal">
      <formula>""</formula>
    </cfRule>
  </conditionalFormatting>
  <conditionalFormatting sqref="D544">
    <cfRule type="cellIs" dxfId="442" priority="760" operator="equal">
      <formula>""</formula>
    </cfRule>
  </conditionalFormatting>
  <conditionalFormatting sqref="E552 E549">
    <cfRule type="cellIs" dxfId="441" priority="758" stopIfTrue="1" operator="equal">
      <formula>""</formula>
    </cfRule>
  </conditionalFormatting>
  <conditionalFormatting sqref="N548 N551 N554 N556:N557">
    <cfRule type="cellIs" dxfId="440" priority="757" stopIfTrue="1" operator="equal">
      <formula>""</formula>
    </cfRule>
  </conditionalFormatting>
  <conditionalFormatting sqref="N546">
    <cfRule type="cellIs" dxfId="439" priority="756" stopIfTrue="1" operator="equal">
      <formula>""</formula>
    </cfRule>
  </conditionalFormatting>
  <conditionalFormatting sqref="N552 N549">
    <cfRule type="cellIs" dxfId="438" priority="755" stopIfTrue="1" operator="equal">
      <formula>""</formula>
    </cfRule>
  </conditionalFormatting>
  <conditionalFormatting sqref="I544:J544">
    <cfRule type="cellIs" dxfId="437" priority="754" operator="equal">
      <formula>""</formula>
    </cfRule>
  </conditionalFormatting>
  <conditionalFormatting sqref="N547">
    <cfRule type="cellIs" dxfId="436" priority="753" stopIfTrue="1" operator="equal">
      <formula>""</formula>
    </cfRule>
  </conditionalFormatting>
  <conditionalFormatting sqref="E555:H555">
    <cfRule type="cellIs" dxfId="435" priority="752" operator="equal">
      <formula>""</formula>
    </cfRule>
  </conditionalFormatting>
  <conditionalFormatting sqref="N555:Q555">
    <cfRule type="cellIs" dxfId="434" priority="751" operator="equal">
      <formula>""</formula>
    </cfRule>
  </conditionalFormatting>
  <conditionalFormatting sqref="E567">
    <cfRule type="cellIs" dxfId="433" priority="747" stopIfTrue="1" operator="equal">
      <formula>""</formula>
    </cfRule>
  </conditionalFormatting>
  <conditionalFormatting sqref="E568:E569 E572 E575 E577:E579">
    <cfRule type="cellIs" dxfId="432" priority="750" stopIfTrue="1" operator="equal">
      <formula>""</formula>
    </cfRule>
  </conditionalFormatting>
  <conditionalFormatting sqref="P565:Q565">
    <cfRule type="cellIs" dxfId="431" priority="749" operator="equal">
      <formula>""</formula>
    </cfRule>
  </conditionalFormatting>
  <conditionalFormatting sqref="D565">
    <cfRule type="cellIs" dxfId="430" priority="748" operator="equal">
      <formula>""</formula>
    </cfRule>
  </conditionalFormatting>
  <conditionalFormatting sqref="E573 E570">
    <cfRule type="cellIs" dxfId="429" priority="746" stopIfTrue="1" operator="equal">
      <formula>""</formula>
    </cfRule>
  </conditionalFormatting>
  <conditionalFormatting sqref="N569 N572 N575 N577:N578">
    <cfRule type="cellIs" dxfId="428" priority="745" stopIfTrue="1" operator="equal">
      <formula>""</formula>
    </cfRule>
  </conditionalFormatting>
  <conditionalFormatting sqref="N567">
    <cfRule type="cellIs" dxfId="427" priority="744" stopIfTrue="1" operator="equal">
      <formula>""</formula>
    </cfRule>
  </conditionalFormatting>
  <conditionalFormatting sqref="N573 N570">
    <cfRule type="cellIs" dxfId="426" priority="743" stopIfTrue="1" operator="equal">
      <formula>""</formula>
    </cfRule>
  </conditionalFormatting>
  <conditionalFormatting sqref="I565:J565">
    <cfRule type="cellIs" dxfId="425" priority="742" operator="equal">
      <formula>""</formula>
    </cfRule>
  </conditionalFormatting>
  <conditionalFormatting sqref="N568">
    <cfRule type="cellIs" dxfId="424" priority="741" stopIfTrue="1" operator="equal">
      <formula>""</formula>
    </cfRule>
  </conditionalFormatting>
  <conditionalFormatting sqref="E576:H576">
    <cfRule type="cellIs" dxfId="423" priority="740" operator="equal">
      <formula>""</formula>
    </cfRule>
  </conditionalFormatting>
  <conditionalFormatting sqref="N576:Q576">
    <cfRule type="cellIs" dxfId="422" priority="739" operator="equal">
      <formula>""</formula>
    </cfRule>
  </conditionalFormatting>
  <conditionalFormatting sqref="E585">
    <cfRule type="cellIs" dxfId="421" priority="735" stopIfTrue="1" operator="equal">
      <formula>""</formula>
    </cfRule>
  </conditionalFormatting>
  <conditionalFormatting sqref="E586:E587 E590 E593 E595:E597">
    <cfRule type="cellIs" dxfId="420" priority="738" stopIfTrue="1" operator="equal">
      <formula>""</formula>
    </cfRule>
  </conditionalFormatting>
  <conditionalFormatting sqref="P583:Q583">
    <cfRule type="cellIs" dxfId="419" priority="737" operator="equal">
      <formula>""</formula>
    </cfRule>
  </conditionalFormatting>
  <conditionalFormatting sqref="D583">
    <cfRule type="cellIs" dxfId="418" priority="736" operator="equal">
      <formula>""</formula>
    </cfRule>
  </conditionalFormatting>
  <conditionalFormatting sqref="E591 E588">
    <cfRule type="cellIs" dxfId="417" priority="734" stopIfTrue="1" operator="equal">
      <formula>""</formula>
    </cfRule>
  </conditionalFormatting>
  <conditionalFormatting sqref="N587 N590 N593 N595:N596">
    <cfRule type="cellIs" dxfId="416" priority="733" stopIfTrue="1" operator="equal">
      <formula>""</formula>
    </cfRule>
  </conditionalFormatting>
  <conditionalFormatting sqref="N585">
    <cfRule type="cellIs" dxfId="415" priority="732" stopIfTrue="1" operator="equal">
      <formula>""</formula>
    </cfRule>
  </conditionalFormatting>
  <conditionalFormatting sqref="N591 N588">
    <cfRule type="cellIs" dxfId="414" priority="731" stopIfTrue="1" operator="equal">
      <formula>""</formula>
    </cfRule>
  </conditionalFormatting>
  <conditionalFormatting sqref="I583:J583">
    <cfRule type="cellIs" dxfId="413" priority="730" operator="equal">
      <formula>""</formula>
    </cfRule>
  </conditionalFormatting>
  <conditionalFormatting sqref="N586">
    <cfRule type="cellIs" dxfId="412" priority="729" stopIfTrue="1" operator="equal">
      <formula>""</formula>
    </cfRule>
  </conditionalFormatting>
  <conditionalFormatting sqref="E594:H594">
    <cfRule type="cellIs" dxfId="411" priority="728" operator="equal">
      <formula>""</formula>
    </cfRule>
  </conditionalFormatting>
  <conditionalFormatting sqref="N594:Q594">
    <cfRule type="cellIs" dxfId="410" priority="727" operator="equal">
      <formula>""</formula>
    </cfRule>
  </conditionalFormatting>
  <conditionalFormatting sqref="E606">
    <cfRule type="cellIs" dxfId="409" priority="723" stopIfTrue="1" operator="equal">
      <formula>""</formula>
    </cfRule>
  </conditionalFormatting>
  <conditionalFormatting sqref="E607:E608 E611 E614 E616:E618">
    <cfRule type="cellIs" dxfId="408" priority="726" stopIfTrue="1" operator="equal">
      <formula>""</formula>
    </cfRule>
  </conditionalFormatting>
  <conditionalFormatting sqref="P604:Q604">
    <cfRule type="cellIs" dxfId="407" priority="725" operator="equal">
      <formula>""</formula>
    </cfRule>
  </conditionalFormatting>
  <conditionalFormatting sqref="D604">
    <cfRule type="cellIs" dxfId="406" priority="724" operator="equal">
      <formula>""</formula>
    </cfRule>
  </conditionalFormatting>
  <conditionalFormatting sqref="E612 E609">
    <cfRule type="cellIs" dxfId="405" priority="722" stopIfTrue="1" operator="equal">
      <formula>""</formula>
    </cfRule>
  </conditionalFormatting>
  <conditionalFormatting sqref="N608 N611 N614 N616:N617">
    <cfRule type="cellIs" dxfId="404" priority="721" stopIfTrue="1" operator="equal">
      <formula>""</formula>
    </cfRule>
  </conditionalFormatting>
  <conditionalFormatting sqref="N606">
    <cfRule type="cellIs" dxfId="403" priority="720" stopIfTrue="1" operator="equal">
      <formula>""</formula>
    </cfRule>
  </conditionalFormatting>
  <conditionalFormatting sqref="N612 N609">
    <cfRule type="cellIs" dxfId="402" priority="719" stopIfTrue="1" operator="equal">
      <formula>""</formula>
    </cfRule>
  </conditionalFormatting>
  <conditionalFormatting sqref="I604:J604">
    <cfRule type="cellIs" dxfId="401" priority="718" operator="equal">
      <formula>""</formula>
    </cfRule>
  </conditionalFormatting>
  <conditionalFormatting sqref="N607">
    <cfRule type="cellIs" dxfId="400" priority="717" stopIfTrue="1" operator="equal">
      <formula>""</formula>
    </cfRule>
  </conditionalFormatting>
  <conditionalFormatting sqref="E615:H615">
    <cfRule type="cellIs" dxfId="399" priority="716" operator="equal">
      <formula>""</formula>
    </cfRule>
  </conditionalFormatting>
  <conditionalFormatting sqref="N615:Q615">
    <cfRule type="cellIs" dxfId="398" priority="715" operator="equal">
      <formula>""</formula>
    </cfRule>
  </conditionalFormatting>
  <conditionalFormatting sqref="E624">
    <cfRule type="cellIs" dxfId="397" priority="711" stopIfTrue="1" operator="equal">
      <formula>""</formula>
    </cfRule>
  </conditionalFormatting>
  <conditionalFormatting sqref="E625:E626 E629 E632 E634:E636">
    <cfRule type="cellIs" dxfId="396" priority="714" stopIfTrue="1" operator="equal">
      <formula>""</formula>
    </cfRule>
  </conditionalFormatting>
  <conditionalFormatting sqref="P622:Q622">
    <cfRule type="cellIs" dxfId="395" priority="713" operator="equal">
      <formula>""</formula>
    </cfRule>
  </conditionalFormatting>
  <conditionalFormatting sqref="D622">
    <cfRule type="cellIs" dxfId="394" priority="712" operator="equal">
      <formula>""</formula>
    </cfRule>
  </conditionalFormatting>
  <conditionalFormatting sqref="E630 E627">
    <cfRule type="cellIs" dxfId="393" priority="710" stopIfTrue="1" operator="equal">
      <formula>""</formula>
    </cfRule>
  </conditionalFormatting>
  <conditionalFormatting sqref="N626 N629 N632 N634:N635">
    <cfRule type="cellIs" dxfId="392" priority="709" stopIfTrue="1" operator="equal">
      <formula>""</formula>
    </cfRule>
  </conditionalFormatting>
  <conditionalFormatting sqref="N624">
    <cfRule type="cellIs" dxfId="391" priority="708" stopIfTrue="1" operator="equal">
      <formula>""</formula>
    </cfRule>
  </conditionalFormatting>
  <conditionalFormatting sqref="N630 N627">
    <cfRule type="cellIs" dxfId="390" priority="707" stopIfTrue="1" operator="equal">
      <formula>""</formula>
    </cfRule>
  </conditionalFormatting>
  <conditionalFormatting sqref="I622:J622">
    <cfRule type="cellIs" dxfId="389" priority="706" operator="equal">
      <formula>""</formula>
    </cfRule>
  </conditionalFormatting>
  <conditionalFormatting sqref="N625">
    <cfRule type="cellIs" dxfId="388" priority="705" stopIfTrue="1" operator="equal">
      <formula>""</formula>
    </cfRule>
  </conditionalFormatting>
  <conditionalFormatting sqref="E633:H633">
    <cfRule type="cellIs" dxfId="387" priority="704" operator="equal">
      <formula>""</formula>
    </cfRule>
  </conditionalFormatting>
  <conditionalFormatting sqref="N633:Q633">
    <cfRule type="cellIs" dxfId="386" priority="703" operator="equal">
      <formula>""</formula>
    </cfRule>
  </conditionalFormatting>
  <conditionalFormatting sqref="L68:N68">
    <cfRule type="cellIs" dxfId="385" priority="701" operator="equal">
      <formula>""</formula>
    </cfRule>
  </conditionalFormatting>
  <conditionalFormatting sqref="R342">
    <cfRule type="cellIs" dxfId="384" priority="634" operator="equal">
      <formula>""</formula>
    </cfRule>
  </conditionalFormatting>
  <conditionalFormatting sqref="N342">
    <cfRule type="cellIs" dxfId="383" priority="633" operator="equal">
      <formula>""</formula>
    </cfRule>
  </conditionalFormatting>
  <conditionalFormatting sqref="P342">
    <cfRule type="cellIs" dxfId="382" priority="632" operator="equal">
      <formula>""</formula>
    </cfRule>
  </conditionalFormatting>
  <conditionalFormatting sqref="J338">
    <cfRule type="cellIs" dxfId="381" priority="652" operator="equal">
      <formula>""</formula>
    </cfRule>
  </conditionalFormatting>
  <conditionalFormatting sqref="J339:J341 J343">
    <cfRule type="cellIs" dxfId="380" priority="651" operator="equal">
      <formula>""</formula>
    </cfRule>
  </conditionalFormatting>
  <conditionalFormatting sqref="L338">
    <cfRule type="cellIs" dxfId="379" priority="650" operator="equal">
      <formula>""</formula>
    </cfRule>
  </conditionalFormatting>
  <conditionalFormatting sqref="L339:L341 L343">
    <cfRule type="cellIs" dxfId="378" priority="649" operator="equal">
      <formula>""</formula>
    </cfRule>
  </conditionalFormatting>
  <conditionalFormatting sqref="F338">
    <cfRule type="cellIs" dxfId="377" priority="648" operator="equal">
      <formula>""</formula>
    </cfRule>
  </conditionalFormatting>
  <conditionalFormatting sqref="H339:H341 H343">
    <cfRule type="cellIs" dxfId="376" priority="645" operator="equal">
      <formula>""</formula>
    </cfRule>
  </conditionalFormatting>
  <conditionalFormatting sqref="J342">
    <cfRule type="cellIs" dxfId="375" priority="644" operator="equal">
      <formula>""</formula>
    </cfRule>
  </conditionalFormatting>
  <conditionalFormatting sqref="F339:F341 F343">
    <cfRule type="cellIs" dxfId="374" priority="647" operator="equal">
      <formula>""</formula>
    </cfRule>
  </conditionalFormatting>
  <conditionalFormatting sqref="H338">
    <cfRule type="cellIs" dxfId="373" priority="646" operator="equal">
      <formula>""</formula>
    </cfRule>
  </conditionalFormatting>
  <conditionalFormatting sqref="L342">
    <cfRule type="cellIs" dxfId="372" priority="643" operator="equal">
      <formula>""</formula>
    </cfRule>
  </conditionalFormatting>
  <conditionalFormatting sqref="F342">
    <cfRule type="cellIs" dxfId="371" priority="642" operator="equal">
      <formula>""</formula>
    </cfRule>
  </conditionalFormatting>
  <conditionalFormatting sqref="R339:R341 R343">
    <cfRule type="cellIs" dxfId="370" priority="639" operator="equal">
      <formula>""</formula>
    </cfRule>
  </conditionalFormatting>
  <conditionalFormatting sqref="N338">
    <cfRule type="cellIs" dxfId="369" priority="638" operator="equal">
      <formula>""</formula>
    </cfRule>
  </conditionalFormatting>
  <conditionalFormatting sqref="N339:N341 N343">
    <cfRule type="cellIs" dxfId="368" priority="637" operator="equal">
      <formula>""</formula>
    </cfRule>
  </conditionalFormatting>
  <conditionalFormatting sqref="P338">
    <cfRule type="cellIs" dxfId="367" priority="636" operator="equal">
      <formula>""</formula>
    </cfRule>
  </conditionalFormatting>
  <conditionalFormatting sqref="N351">
    <cfRule type="cellIs" dxfId="366" priority="612" operator="equal">
      <formula>""</formula>
    </cfRule>
  </conditionalFormatting>
  <conditionalFormatting sqref="P351">
    <cfRule type="cellIs" dxfId="365" priority="611" operator="equal">
      <formula>""</formula>
    </cfRule>
  </conditionalFormatting>
  <conditionalFormatting sqref="P339:P341 P343">
    <cfRule type="cellIs" dxfId="364" priority="635" operator="equal">
      <formula>""</formula>
    </cfRule>
  </conditionalFormatting>
  <conditionalFormatting sqref="J347">
    <cfRule type="cellIs" dxfId="363" priority="631" operator="equal">
      <formula>""</formula>
    </cfRule>
  </conditionalFormatting>
  <conditionalFormatting sqref="J348:J350 J352">
    <cfRule type="cellIs" dxfId="362" priority="630" operator="equal">
      <formula>""</formula>
    </cfRule>
  </conditionalFormatting>
  <conditionalFormatting sqref="L347">
    <cfRule type="cellIs" dxfId="361" priority="629" operator="equal">
      <formula>""</formula>
    </cfRule>
  </conditionalFormatting>
  <conditionalFormatting sqref="L348:L350 L352">
    <cfRule type="cellIs" dxfId="360" priority="628" operator="equal">
      <formula>""</formula>
    </cfRule>
  </conditionalFormatting>
  <conditionalFormatting sqref="F347">
    <cfRule type="cellIs" dxfId="359" priority="627" operator="equal">
      <formula>""</formula>
    </cfRule>
  </conditionalFormatting>
  <conditionalFormatting sqref="F348:F350 F352">
    <cfRule type="cellIs" dxfId="358" priority="626" operator="equal">
      <formula>""</formula>
    </cfRule>
  </conditionalFormatting>
  <conditionalFormatting sqref="H347">
    <cfRule type="cellIs" dxfId="357" priority="625" operator="equal">
      <formula>""</formula>
    </cfRule>
  </conditionalFormatting>
  <conditionalFormatting sqref="H348:H350 H352">
    <cfRule type="cellIs" dxfId="356" priority="624" operator="equal">
      <formula>""</formula>
    </cfRule>
  </conditionalFormatting>
  <conditionalFormatting sqref="F351">
    <cfRule type="cellIs" dxfId="355" priority="621" operator="equal">
      <formula>""</formula>
    </cfRule>
  </conditionalFormatting>
  <conditionalFormatting sqref="H342">
    <cfRule type="cellIs" dxfId="354" priority="641" operator="equal">
      <formula>""</formula>
    </cfRule>
  </conditionalFormatting>
  <conditionalFormatting sqref="J351">
    <cfRule type="cellIs" dxfId="353" priority="623" operator="equal">
      <formula>""</formula>
    </cfRule>
  </conditionalFormatting>
  <conditionalFormatting sqref="L351">
    <cfRule type="cellIs" dxfId="352" priority="622" operator="equal">
      <formula>""</formula>
    </cfRule>
  </conditionalFormatting>
  <conditionalFormatting sqref="R338">
    <cfRule type="cellIs" dxfId="351" priority="640" operator="equal">
      <formula>""</formula>
    </cfRule>
  </conditionalFormatting>
  <conditionalFormatting sqref="R348:R350 R352">
    <cfRule type="cellIs" dxfId="350" priority="618" operator="equal">
      <formula>""</formula>
    </cfRule>
  </conditionalFormatting>
  <conditionalFormatting sqref="N347">
    <cfRule type="cellIs" dxfId="349" priority="617" operator="equal">
      <formula>""</formula>
    </cfRule>
  </conditionalFormatting>
  <conditionalFormatting sqref="N348:N350 N352">
    <cfRule type="cellIs" dxfId="348" priority="616" operator="equal">
      <formula>""</formula>
    </cfRule>
  </conditionalFormatting>
  <conditionalFormatting sqref="P347">
    <cfRule type="cellIs" dxfId="347" priority="615" operator="equal">
      <formula>""</formula>
    </cfRule>
  </conditionalFormatting>
  <conditionalFormatting sqref="P348:P350 P352">
    <cfRule type="cellIs" dxfId="346" priority="614" operator="equal">
      <formula>""</formula>
    </cfRule>
  </conditionalFormatting>
  <conditionalFormatting sqref="R351">
    <cfRule type="cellIs" dxfId="345" priority="613" operator="equal">
      <formula>""</formula>
    </cfRule>
  </conditionalFormatting>
  <conditionalFormatting sqref="J355">
    <cfRule type="cellIs" dxfId="344" priority="610" operator="equal">
      <formula>""</formula>
    </cfRule>
  </conditionalFormatting>
  <conditionalFormatting sqref="J356:J358 J360">
    <cfRule type="cellIs" dxfId="343" priority="609" operator="equal">
      <formula>""</formula>
    </cfRule>
  </conditionalFormatting>
  <conditionalFormatting sqref="L355">
    <cfRule type="cellIs" dxfId="342" priority="608" operator="equal">
      <formula>""</formula>
    </cfRule>
  </conditionalFormatting>
  <conditionalFormatting sqref="L356:L358 L360">
    <cfRule type="cellIs" dxfId="341" priority="607" operator="equal">
      <formula>""</formula>
    </cfRule>
  </conditionalFormatting>
  <conditionalFormatting sqref="F355">
    <cfRule type="cellIs" dxfId="340" priority="606" operator="equal">
      <formula>""</formula>
    </cfRule>
  </conditionalFormatting>
  <conditionalFormatting sqref="H356:H358 H360">
    <cfRule type="cellIs" dxfId="339" priority="603" operator="equal">
      <formula>""</formula>
    </cfRule>
  </conditionalFormatting>
  <conditionalFormatting sqref="J359">
    <cfRule type="cellIs" dxfId="338" priority="602" operator="equal">
      <formula>""</formula>
    </cfRule>
  </conditionalFormatting>
  <conditionalFormatting sqref="F356:F358 F360">
    <cfRule type="cellIs" dxfId="337" priority="605" operator="equal">
      <formula>""</formula>
    </cfRule>
  </conditionalFormatting>
  <conditionalFormatting sqref="H355">
    <cfRule type="cellIs" dxfId="336" priority="604" operator="equal">
      <formula>""</formula>
    </cfRule>
  </conditionalFormatting>
  <conditionalFormatting sqref="L359">
    <cfRule type="cellIs" dxfId="335" priority="601" operator="equal">
      <formula>""</formula>
    </cfRule>
  </conditionalFormatting>
  <conditionalFormatting sqref="F359">
    <cfRule type="cellIs" dxfId="334" priority="600" operator="equal">
      <formula>""</formula>
    </cfRule>
  </conditionalFormatting>
  <conditionalFormatting sqref="R356:R358 R360">
    <cfRule type="cellIs" dxfId="333" priority="597" operator="equal">
      <formula>""</formula>
    </cfRule>
  </conditionalFormatting>
  <conditionalFormatting sqref="N355">
    <cfRule type="cellIs" dxfId="332" priority="596" operator="equal">
      <formula>""</formula>
    </cfRule>
  </conditionalFormatting>
  <conditionalFormatting sqref="N356:N358 N360">
    <cfRule type="cellIs" dxfId="331" priority="595" operator="equal">
      <formula>""</formula>
    </cfRule>
  </conditionalFormatting>
  <conditionalFormatting sqref="P355">
    <cfRule type="cellIs" dxfId="330" priority="594" operator="equal">
      <formula>""</formula>
    </cfRule>
  </conditionalFormatting>
  <conditionalFormatting sqref="N359">
    <cfRule type="cellIs" dxfId="329" priority="591" operator="equal">
      <formula>""</formula>
    </cfRule>
  </conditionalFormatting>
  <conditionalFormatting sqref="P359">
    <cfRule type="cellIs" dxfId="328" priority="590" operator="equal">
      <formula>""</formula>
    </cfRule>
  </conditionalFormatting>
  <conditionalFormatting sqref="P356:P358 P360">
    <cfRule type="cellIs" dxfId="327" priority="593" operator="equal">
      <formula>""</formula>
    </cfRule>
  </conditionalFormatting>
  <conditionalFormatting sqref="H351">
    <cfRule type="cellIs" dxfId="326" priority="620" operator="equal">
      <formula>""</formula>
    </cfRule>
  </conditionalFormatting>
  <conditionalFormatting sqref="R347">
    <cfRule type="cellIs" dxfId="325" priority="619" operator="equal">
      <formula>""</formula>
    </cfRule>
  </conditionalFormatting>
  <conditionalFormatting sqref="R359">
    <cfRule type="cellIs" dxfId="324" priority="592" operator="equal">
      <formula>""</formula>
    </cfRule>
  </conditionalFormatting>
  <conditionalFormatting sqref="H359">
    <cfRule type="cellIs" dxfId="323" priority="599" operator="equal">
      <formula>""</formula>
    </cfRule>
  </conditionalFormatting>
  <conditionalFormatting sqref="R355">
    <cfRule type="cellIs" dxfId="322" priority="598" operator="equal">
      <formula>""</formula>
    </cfRule>
  </conditionalFormatting>
  <conditionalFormatting sqref="J645">
    <cfRule type="cellIs" dxfId="321" priority="589" operator="equal">
      <formula>""</formula>
    </cfRule>
  </conditionalFormatting>
  <conditionalFormatting sqref="J646:J648 J650">
    <cfRule type="cellIs" dxfId="320" priority="588" operator="equal">
      <formula>""</formula>
    </cfRule>
  </conditionalFormatting>
  <conditionalFormatting sqref="L645">
    <cfRule type="cellIs" dxfId="319" priority="587" operator="equal">
      <formula>""</formula>
    </cfRule>
  </conditionalFormatting>
  <conditionalFormatting sqref="L646:L648 L650">
    <cfRule type="cellIs" dxfId="318" priority="586" operator="equal">
      <formula>""</formula>
    </cfRule>
  </conditionalFormatting>
  <conditionalFormatting sqref="F645">
    <cfRule type="cellIs" dxfId="317" priority="585" operator="equal">
      <formula>""</formula>
    </cfRule>
  </conditionalFormatting>
  <conditionalFormatting sqref="F646:F648 F650">
    <cfRule type="cellIs" dxfId="316" priority="584" operator="equal">
      <formula>""</formula>
    </cfRule>
  </conditionalFormatting>
  <conditionalFormatting sqref="H645">
    <cfRule type="cellIs" dxfId="315" priority="583" operator="equal">
      <formula>""</formula>
    </cfRule>
  </conditionalFormatting>
  <conditionalFormatting sqref="H646:H648 H650">
    <cfRule type="cellIs" dxfId="314" priority="582" operator="equal">
      <formula>""</formula>
    </cfRule>
  </conditionalFormatting>
  <conditionalFormatting sqref="F649">
    <cfRule type="cellIs" dxfId="313" priority="579" operator="equal">
      <formula>""</formula>
    </cfRule>
  </conditionalFormatting>
  <conditionalFormatting sqref="H649">
    <cfRule type="cellIs" dxfId="312" priority="578" operator="equal">
      <formula>""</formula>
    </cfRule>
  </conditionalFormatting>
  <conditionalFormatting sqref="J649">
    <cfRule type="cellIs" dxfId="311" priority="581" operator="equal">
      <formula>""</formula>
    </cfRule>
  </conditionalFormatting>
  <conditionalFormatting sqref="L649">
    <cfRule type="cellIs" dxfId="310" priority="580" operator="equal">
      <formula>""</formula>
    </cfRule>
  </conditionalFormatting>
  <conditionalFormatting sqref="R645">
    <cfRule type="cellIs" dxfId="309" priority="577" operator="equal">
      <formula>""</formula>
    </cfRule>
  </conditionalFormatting>
  <conditionalFormatting sqref="R646:R648 R650">
    <cfRule type="cellIs" dxfId="308" priority="576" operator="equal">
      <formula>""</formula>
    </cfRule>
  </conditionalFormatting>
  <conditionalFormatting sqref="N645">
    <cfRule type="cellIs" dxfId="307" priority="575" operator="equal">
      <formula>""</formula>
    </cfRule>
  </conditionalFormatting>
  <conditionalFormatting sqref="N646:N648 N650">
    <cfRule type="cellIs" dxfId="306" priority="574" operator="equal">
      <formula>""</formula>
    </cfRule>
  </conditionalFormatting>
  <conditionalFormatting sqref="P645">
    <cfRule type="cellIs" dxfId="305" priority="573" operator="equal">
      <formula>""</formula>
    </cfRule>
  </conditionalFormatting>
  <conditionalFormatting sqref="P646:P648 P650">
    <cfRule type="cellIs" dxfId="304" priority="572" operator="equal">
      <formula>""</formula>
    </cfRule>
  </conditionalFormatting>
  <conditionalFormatting sqref="N649">
    <cfRule type="cellIs" dxfId="303" priority="570" operator="equal">
      <formula>""</formula>
    </cfRule>
  </conditionalFormatting>
  <conditionalFormatting sqref="P649">
    <cfRule type="cellIs" dxfId="302" priority="569" operator="equal">
      <formula>""</formula>
    </cfRule>
  </conditionalFormatting>
  <conditionalFormatting sqref="R649">
    <cfRule type="cellIs" dxfId="301" priority="571" operator="equal">
      <formula>""</formula>
    </cfRule>
  </conditionalFormatting>
  <conditionalFormatting sqref="R657">
    <cfRule type="cellIs" dxfId="300" priority="550" operator="equal">
      <formula>""</formula>
    </cfRule>
  </conditionalFormatting>
  <conditionalFormatting sqref="N657">
    <cfRule type="cellIs" dxfId="299" priority="549" operator="equal">
      <formula>""</formula>
    </cfRule>
  </conditionalFormatting>
  <conditionalFormatting sqref="P657">
    <cfRule type="cellIs" dxfId="298" priority="548" operator="equal">
      <formula>""</formula>
    </cfRule>
  </conditionalFormatting>
  <conditionalFormatting sqref="J653">
    <cfRule type="cellIs" dxfId="297" priority="568" operator="equal">
      <formula>""</formula>
    </cfRule>
  </conditionalFormatting>
  <conditionalFormatting sqref="J654:J656 J658">
    <cfRule type="cellIs" dxfId="296" priority="567" operator="equal">
      <formula>""</formula>
    </cfRule>
  </conditionalFormatting>
  <conditionalFormatting sqref="L653">
    <cfRule type="cellIs" dxfId="295" priority="566" operator="equal">
      <formula>""</formula>
    </cfRule>
  </conditionalFormatting>
  <conditionalFormatting sqref="L654:L656 L658">
    <cfRule type="cellIs" dxfId="294" priority="565" operator="equal">
      <formula>""</formula>
    </cfRule>
  </conditionalFormatting>
  <conditionalFormatting sqref="F653">
    <cfRule type="cellIs" dxfId="293" priority="564" operator="equal">
      <formula>""</formula>
    </cfRule>
  </conditionalFormatting>
  <conditionalFormatting sqref="H654:H656 H658">
    <cfRule type="cellIs" dxfId="292" priority="561" operator="equal">
      <formula>""</formula>
    </cfRule>
  </conditionalFormatting>
  <conditionalFormatting sqref="J657">
    <cfRule type="cellIs" dxfId="291" priority="560" operator="equal">
      <formula>""</formula>
    </cfRule>
  </conditionalFormatting>
  <conditionalFormatting sqref="F654:F656 F658">
    <cfRule type="cellIs" dxfId="290" priority="563" operator="equal">
      <formula>""</formula>
    </cfRule>
  </conditionalFormatting>
  <conditionalFormatting sqref="H653">
    <cfRule type="cellIs" dxfId="289" priority="562" operator="equal">
      <formula>""</formula>
    </cfRule>
  </conditionalFormatting>
  <conditionalFormatting sqref="L657">
    <cfRule type="cellIs" dxfId="288" priority="559" operator="equal">
      <formula>""</formula>
    </cfRule>
  </conditionalFormatting>
  <conditionalFormatting sqref="F657">
    <cfRule type="cellIs" dxfId="287" priority="558" operator="equal">
      <formula>""</formula>
    </cfRule>
  </conditionalFormatting>
  <conditionalFormatting sqref="R654:R656 R658">
    <cfRule type="cellIs" dxfId="286" priority="555" operator="equal">
      <formula>""</formula>
    </cfRule>
  </conditionalFormatting>
  <conditionalFormatting sqref="N653">
    <cfRule type="cellIs" dxfId="285" priority="554" operator="equal">
      <formula>""</formula>
    </cfRule>
  </conditionalFormatting>
  <conditionalFormatting sqref="N654:N656 N658">
    <cfRule type="cellIs" dxfId="284" priority="553" operator="equal">
      <formula>""</formula>
    </cfRule>
  </conditionalFormatting>
  <conditionalFormatting sqref="P653">
    <cfRule type="cellIs" dxfId="283" priority="552" operator="equal">
      <formula>""</formula>
    </cfRule>
  </conditionalFormatting>
  <conditionalFormatting sqref="P654:P656 P658">
    <cfRule type="cellIs" dxfId="282" priority="551" operator="equal">
      <formula>""</formula>
    </cfRule>
  </conditionalFormatting>
  <conditionalFormatting sqref="H657">
    <cfRule type="cellIs" dxfId="281" priority="557" operator="equal">
      <formula>""</formula>
    </cfRule>
  </conditionalFormatting>
  <conditionalFormatting sqref="R653">
    <cfRule type="cellIs" dxfId="280" priority="556" operator="equal">
      <formula>""</formula>
    </cfRule>
  </conditionalFormatting>
  <conditionalFormatting sqref="H667:H673 L667:L673">
    <cfRule type="cellIs" dxfId="279" priority="547" operator="equal">
      <formula>""</formula>
    </cfRule>
  </conditionalFormatting>
  <conditionalFormatting sqref="D667:D673">
    <cfRule type="cellIs" dxfId="278" priority="504" operator="equal">
      <formula>""</formula>
    </cfRule>
  </conditionalFormatting>
  <conditionalFormatting sqref="P667:P673">
    <cfRule type="cellIs" dxfId="277" priority="503" operator="equal">
      <formula>""</formula>
    </cfRule>
  </conditionalFormatting>
  <conditionalFormatting sqref="E93:P93">
    <cfRule type="cellIs" dxfId="276" priority="502" operator="equal">
      <formula>""</formula>
    </cfRule>
  </conditionalFormatting>
  <conditionalFormatting sqref="F667:G667">
    <cfRule type="cellIs" dxfId="275" priority="479" operator="equal">
      <formula>""</formula>
    </cfRule>
  </conditionalFormatting>
  <conditionalFormatting sqref="D53">
    <cfRule type="cellIs" dxfId="274" priority="494" operator="equal">
      <formula>""</formula>
    </cfRule>
  </conditionalFormatting>
  <conditionalFormatting sqref="K146:M146">
    <cfRule type="cellIs" dxfId="273" priority="493" operator="equal">
      <formula>""</formula>
    </cfRule>
  </conditionalFormatting>
  <conditionalFormatting sqref="Q146:S146">
    <cfRule type="cellIs" dxfId="272" priority="492" operator="equal">
      <formula>""</formula>
    </cfRule>
  </conditionalFormatting>
  <conditionalFormatting sqref="N146:P146">
    <cfRule type="cellIs" dxfId="271" priority="489" operator="equal">
      <formula>""</formula>
    </cfRule>
  </conditionalFormatting>
  <conditionalFormatting sqref="F668:G673">
    <cfRule type="cellIs" dxfId="270" priority="478" operator="equal">
      <formula>""</formula>
    </cfRule>
  </conditionalFormatting>
  <conditionalFormatting sqref="F678:M678">
    <cfRule type="cellIs" dxfId="269" priority="477" operator="equal">
      <formula>""</formula>
    </cfRule>
  </conditionalFormatting>
  <conditionalFormatting sqref="F679 L734:T736 L738:T754 L757:T772">
    <cfRule type="cellIs" dxfId="268" priority="475" operator="equal">
      <formula>""</formula>
    </cfRule>
  </conditionalFormatting>
  <conditionalFormatting sqref="E507">
    <cfRule type="cellIs" dxfId="267" priority="471" stopIfTrue="1" operator="equal">
      <formula>""</formula>
    </cfRule>
  </conditionalFormatting>
  <conditionalFormatting sqref="E508:E509 E512 E515 E517:E519">
    <cfRule type="cellIs" dxfId="266" priority="474" stopIfTrue="1" operator="equal">
      <formula>""</formula>
    </cfRule>
  </conditionalFormatting>
  <conditionalFormatting sqref="P505:Q505">
    <cfRule type="cellIs" dxfId="265" priority="473" operator="equal">
      <formula>""</formula>
    </cfRule>
  </conditionalFormatting>
  <conditionalFormatting sqref="D505">
    <cfRule type="cellIs" dxfId="264" priority="472" operator="equal">
      <formula>""</formula>
    </cfRule>
  </conditionalFormatting>
  <conditionalFormatting sqref="E513 E510">
    <cfRule type="cellIs" dxfId="263" priority="470" stopIfTrue="1" operator="equal">
      <formula>""</formula>
    </cfRule>
  </conditionalFormatting>
  <conditionalFormatting sqref="N509 N512 N515 N517:N518">
    <cfRule type="cellIs" dxfId="262" priority="469" stopIfTrue="1" operator="equal">
      <formula>""</formula>
    </cfRule>
  </conditionalFormatting>
  <conditionalFormatting sqref="N507">
    <cfRule type="cellIs" dxfId="261" priority="468" stopIfTrue="1" operator="equal">
      <formula>""</formula>
    </cfRule>
  </conditionalFormatting>
  <conditionalFormatting sqref="N513 N510">
    <cfRule type="cellIs" dxfId="260" priority="467" stopIfTrue="1" operator="equal">
      <formula>""</formula>
    </cfRule>
  </conditionalFormatting>
  <conditionalFormatting sqref="I505:J505">
    <cfRule type="cellIs" dxfId="259" priority="466" operator="equal">
      <formula>""</formula>
    </cfRule>
  </conditionalFormatting>
  <conditionalFormatting sqref="N508">
    <cfRule type="cellIs" dxfId="258" priority="465" stopIfTrue="1" operator="equal">
      <formula>""</formula>
    </cfRule>
  </conditionalFormatting>
  <conditionalFormatting sqref="E516:H516">
    <cfRule type="cellIs" dxfId="257" priority="464" operator="equal">
      <formula>""</formula>
    </cfRule>
  </conditionalFormatting>
  <conditionalFormatting sqref="N516:Q516">
    <cfRule type="cellIs" dxfId="256" priority="463" operator="equal">
      <formula>""</formula>
    </cfRule>
  </conditionalFormatting>
  <conditionalFormatting sqref="O274:O275 N261:N272 H258">
    <cfRule type="cellIs" dxfId="255" priority="462" stopIfTrue="1" operator="equal">
      <formula>""</formula>
    </cfRule>
  </conditionalFormatting>
  <conditionalFormatting sqref="I219">
    <cfRule type="cellIs" dxfId="254" priority="460" stopIfTrue="1" operator="equal">
      <formula>""</formula>
    </cfRule>
  </conditionalFormatting>
  <conditionalFormatting sqref="Q243:Q245">
    <cfRule type="cellIs" dxfId="253" priority="455" stopIfTrue="1" operator="equal">
      <formula>""</formula>
    </cfRule>
  </conditionalFormatting>
  <conditionalFormatting sqref="Q241">
    <cfRule type="cellIs" dxfId="252" priority="453" stopIfTrue="1" operator="equal">
      <formula>""</formula>
    </cfRule>
  </conditionalFormatting>
  <conditionalFormatting sqref="R226">
    <cfRule type="cellIs" dxfId="251" priority="449" stopIfTrue="1" operator="equal">
      <formula>""</formula>
    </cfRule>
  </conditionalFormatting>
  <conditionalFormatting sqref="O247">
    <cfRule type="cellIs" dxfId="250" priority="448" operator="equal">
      <formula>""</formula>
    </cfRule>
  </conditionalFormatting>
  <conditionalFormatting sqref="U254:U256">
    <cfRule type="cellIs" dxfId="249" priority="446" stopIfTrue="1" operator="equal">
      <formula>""</formula>
    </cfRule>
  </conditionalFormatting>
  <conditionalFormatting sqref="U253">
    <cfRule type="cellIs" dxfId="248" priority="445" stopIfTrue="1" operator="equal">
      <formula>""</formula>
    </cfRule>
  </conditionalFormatting>
  <conditionalFormatting sqref="U252">
    <cfRule type="cellIs" dxfId="247" priority="444" stopIfTrue="1" operator="equal">
      <formula>""</formula>
    </cfRule>
  </conditionalFormatting>
  <conditionalFormatting sqref="J220">
    <cfRule type="cellIs" dxfId="246" priority="442" stopIfTrue="1" operator="equal">
      <formula>""</formula>
    </cfRule>
  </conditionalFormatting>
  <conditionalFormatting sqref="U224:U225">
    <cfRule type="cellIs" dxfId="245" priority="441" stopIfTrue="1" operator="equal">
      <formula>""</formula>
    </cfRule>
  </conditionalFormatting>
  <conditionalFormatting sqref="Q219 M219">
    <cfRule type="cellIs" dxfId="244" priority="440" stopIfTrue="1" operator="equal">
      <formula>""</formula>
    </cfRule>
  </conditionalFormatting>
  <conditionalFormatting sqref="G315:P315">
    <cfRule type="cellIs" dxfId="243" priority="439" operator="equal">
      <formula>""</formula>
    </cfRule>
  </conditionalFormatting>
  <conditionalFormatting sqref="D109">
    <cfRule type="cellIs" dxfId="242" priority="436" operator="equal">
      <formula>""</formula>
    </cfRule>
  </conditionalFormatting>
  <conditionalFormatting sqref="I112:I113">
    <cfRule type="cellIs" dxfId="241" priority="435" operator="equal">
      <formula>""</formula>
    </cfRule>
  </conditionalFormatting>
  <conditionalFormatting sqref="I114">
    <cfRule type="cellIs" dxfId="240" priority="434" operator="equal">
      <formula>""</formula>
    </cfRule>
  </conditionalFormatting>
  <conditionalFormatting sqref="L100:L104">
    <cfRule type="cellIs" dxfId="239" priority="433" operator="equal">
      <formula>""</formula>
    </cfRule>
  </conditionalFormatting>
  <conditionalFormatting sqref="S516:V516">
    <cfRule type="cellIs" dxfId="238" priority="419" operator="equal">
      <formula>""</formula>
    </cfRule>
  </conditionalFormatting>
  <conditionalFormatting sqref="H140:J140">
    <cfRule type="cellIs" dxfId="237" priority="427" operator="equal">
      <formula>""</formula>
    </cfRule>
  </conditionalFormatting>
  <conditionalFormatting sqref="S498:S499">
    <cfRule type="cellIs" dxfId="236" priority="426" stopIfTrue="1" operator="equal">
      <formula>""</formula>
    </cfRule>
  </conditionalFormatting>
  <conditionalFormatting sqref="S488:S491 S493:S494 S496">
    <cfRule type="cellIs" dxfId="235" priority="425" stopIfTrue="1" operator="equal">
      <formula>""</formula>
    </cfRule>
  </conditionalFormatting>
  <conditionalFormatting sqref="S497:V497">
    <cfRule type="cellIs" dxfId="234" priority="422" operator="equal">
      <formula>""</formula>
    </cfRule>
  </conditionalFormatting>
  <conditionalFormatting sqref="S517:S518">
    <cfRule type="cellIs" dxfId="233" priority="421" stopIfTrue="1" operator="equal">
      <formula>""</formula>
    </cfRule>
  </conditionalFormatting>
  <conditionalFormatting sqref="S507:S510 S512:S513 S515">
    <cfRule type="cellIs" dxfId="232" priority="420" stopIfTrue="1" operator="equal">
      <formula>""</formula>
    </cfRule>
  </conditionalFormatting>
  <conditionalFormatting sqref="S538:S539">
    <cfRule type="cellIs" dxfId="231" priority="418" stopIfTrue="1" operator="equal">
      <formula>""</formula>
    </cfRule>
  </conditionalFormatting>
  <conditionalFormatting sqref="S528:S531 S533:S534 S536">
    <cfRule type="cellIs" dxfId="230" priority="417" stopIfTrue="1" operator="equal">
      <formula>""</formula>
    </cfRule>
  </conditionalFormatting>
  <conditionalFormatting sqref="S537:V537">
    <cfRule type="cellIs" dxfId="229" priority="416" operator="equal">
      <formula>""</formula>
    </cfRule>
  </conditionalFormatting>
  <conditionalFormatting sqref="S556:S557">
    <cfRule type="cellIs" dxfId="228" priority="415" stopIfTrue="1" operator="equal">
      <formula>""</formula>
    </cfRule>
  </conditionalFormatting>
  <conditionalFormatting sqref="S546:S549 S551:S552 S554">
    <cfRule type="cellIs" dxfId="227" priority="414" stopIfTrue="1" operator="equal">
      <formula>""</formula>
    </cfRule>
  </conditionalFormatting>
  <conditionalFormatting sqref="S555:V555">
    <cfRule type="cellIs" dxfId="226" priority="413" operator="equal">
      <formula>""</formula>
    </cfRule>
  </conditionalFormatting>
  <conditionalFormatting sqref="S577:S578">
    <cfRule type="cellIs" dxfId="225" priority="412" stopIfTrue="1" operator="equal">
      <formula>""</formula>
    </cfRule>
  </conditionalFormatting>
  <conditionalFormatting sqref="S567:S570 S572:S573 S575">
    <cfRule type="cellIs" dxfId="224" priority="411" stopIfTrue="1" operator="equal">
      <formula>""</formula>
    </cfRule>
  </conditionalFormatting>
  <conditionalFormatting sqref="S576:V576">
    <cfRule type="cellIs" dxfId="223" priority="410" operator="equal">
      <formula>""</formula>
    </cfRule>
  </conditionalFormatting>
  <conditionalFormatting sqref="S595:S596">
    <cfRule type="cellIs" dxfId="222" priority="409" stopIfTrue="1" operator="equal">
      <formula>""</formula>
    </cfRule>
  </conditionalFormatting>
  <conditionalFormatting sqref="S585:S588 S590:S591">
    <cfRule type="cellIs" dxfId="221" priority="408" stopIfTrue="1" operator="equal">
      <formula>""</formula>
    </cfRule>
  </conditionalFormatting>
  <conditionalFormatting sqref="S594:V594">
    <cfRule type="cellIs" dxfId="220" priority="407" operator="equal">
      <formula>""</formula>
    </cfRule>
  </conditionalFormatting>
  <conditionalFormatting sqref="S616:S617">
    <cfRule type="cellIs" dxfId="219" priority="406" stopIfTrue="1" operator="equal">
      <formula>""</formula>
    </cfRule>
  </conditionalFormatting>
  <conditionalFormatting sqref="S606:S609 S611:S612 S614">
    <cfRule type="cellIs" dxfId="218" priority="405" stopIfTrue="1" operator="equal">
      <formula>""</formula>
    </cfRule>
  </conditionalFormatting>
  <conditionalFormatting sqref="S615:V615">
    <cfRule type="cellIs" dxfId="217" priority="404" operator="equal">
      <formula>""</formula>
    </cfRule>
  </conditionalFormatting>
  <conditionalFormatting sqref="S634:S635">
    <cfRule type="cellIs" dxfId="216" priority="403" stopIfTrue="1" operator="equal">
      <formula>""</formula>
    </cfRule>
  </conditionalFormatting>
  <conditionalFormatting sqref="S624:S627 S629:S630 S632">
    <cfRule type="cellIs" dxfId="215" priority="402" stopIfTrue="1" operator="equal">
      <formula>""</formula>
    </cfRule>
  </conditionalFormatting>
  <conditionalFormatting sqref="S633:V633">
    <cfRule type="cellIs" dxfId="214" priority="401" operator="equal">
      <formula>""</formula>
    </cfRule>
  </conditionalFormatting>
  <conditionalFormatting sqref="I232">
    <cfRule type="cellIs" dxfId="213" priority="399" stopIfTrue="1" operator="equal">
      <formula>""</formula>
    </cfRule>
  </conditionalFormatting>
  <conditionalFormatting sqref="L231">
    <cfRule type="cellIs" dxfId="212" priority="396" stopIfTrue="1" operator="equal">
      <formula>""</formula>
    </cfRule>
  </conditionalFormatting>
  <conditionalFormatting sqref="T231 P231">
    <cfRule type="cellIs" dxfId="211" priority="395" stopIfTrue="1" operator="equal">
      <formula>""</formula>
    </cfRule>
  </conditionalFormatting>
  <conditionalFormatting sqref="J394">
    <cfRule type="cellIs" dxfId="210" priority="394" operator="equal">
      <formula>""</formula>
    </cfRule>
  </conditionalFormatting>
  <conditionalFormatting sqref="J395:J397 J399">
    <cfRule type="cellIs" dxfId="209" priority="393" operator="equal">
      <formula>""</formula>
    </cfRule>
  </conditionalFormatting>
  <conditionalFormatting sqref="L394">
    <cfRule type="cellIs" dxfId="208" priority="392" operator="equal">
      <formula>""</formula>
    </cfRule>
  </conditionalFormatting>
  <conditionalFormatting sqref="L395:L397 L399">
    <cfRule type="cellIs" dxfId="207" priority="391" operator="equal">
      <formula>""</formula>
    </cfRule>
  </conditionalFormatting>
  <conditionalFormatting sqref="F394">
    <cfRule type="cellIs" dxfId="206" priority="390" operator="equal">
      <formula>""</formula>
    </cfRule>
  </conditionalFormatting>
  <conditionalFormatting sqref="F395:F397 F399">
    <cfRule type="cellIs" dxfId="205" priority="389" operator="equal">
      <formula>""</formula>
    </cfRule>
  </conditionalFormatting>
  <conditionalFormatting sqref="H394">
    <cfRule type="cellIs" dxfId="204" priority="388" operator="equal">
      <formula>""</formula>
    </cfRule>
  </conditionalFormatting>
  <conditionalFormatting sqref="H395:H397 H399">
    <cfRule type="cellIs" dxfId="203" priority="387" operator="equal">
      <formula>""</formula>
    </cfRule>
  </conditionalFormatting>
  <conditionalFormatting sqref="F398">
    <cfRule type="cellIs" dxfId="202" priority="384" operator="equal">
      <formula>""</formula>
    </cfRule>
  </conditionalFormatting>
  <conditionalFormatting sqref="H398">
    <cfRule type="cellIs" dxfId="201" priority="383" operator="equal">
      <formula>""</formula>
    </cfRule>
  </conditionalFormatting>
  <conditionalFormatting sqref="J398">
    <cfRule type="cellIs" dxfId="200" priority="386" operator="equal">
      <formula>""</formula>
    </cfRule>
  </conditionalFormatting>
  <conditionalFormatting sqref="L398">
    <cfRule type="cellIs" dxfId="199" priority="385" operator="equal">
      <formula>""</formula>
    </cfRule>
  </conditionalFormatting>
  <conditionalFormatting sqref="R394">
    <cfRule type="cellIs" dxfId="198" priority="382" operator="equal">
      <formula>""</formula>
    </cfRule>
  </conditionalFormatting>
  <conditionalFormatting sqref="R395:R397 R399">
    <cfRule type="cellIs" dxfId="197" priority="381" operator="equal">
      <formula>""</formula>
    </cfRule>
  </conditionalFormatting>
  <conditionalFormatting sqref="N394">
    <cfRule type="cellIs" dxfId="196" priority="380" operator="equal">
      <formula>""</formula>
    </cfRule>
  </conditionalFormatting>
  <conditionalFormatting sqref="N395:N397 N399">
    <cfRule type="cellIs" dxfId="195" priority="379" operator="equal">
      <formula>""</formula>
    </cfRule>
  </conditionalFormatting>
  <conditionalFormatting sqref="P394">
    <cfRule type="cellIs" dxfId="194" priority="378" operator="equal">
      <formula>""</formula>
    </cfRule>
  </conditionalFormatting>
  <conditionalFormatting sqref="P395:P397 P399">
    <cfRule type="cellIs" dxfId="193" priority="377" operator="equal">
      <formula>""</formula>
    </cfRule>
  </conditionalFormatting>
  <conditionalFormatting sqref="N398">
    <cfRule type="cellIs" dxfId="192" priority="375" operator="equal">
      <formula>""</formula>
    </cfRule>
  </conditionalFormatting>
  <conditionalFormatting sqref="P398">
    <cfRule type="cellIs" dxfId="191" priority="374" operator="equal">
      <formula>""</formula>
    </cfRule>
  </conditionalFormatting>
  <conditionalFormatting sqref="R398">
    <cfRule type="cellIs" dxfId="190" priority="376" operator="equal">
      <formula>""</formula>
    </cfRule>
  </conditionalFormatting>
  <conditionalFormatting sqref="R406">
    <cfRule type="cellIs" dxfId="189" priority="355" operator="equal">
      <formula>""</formula>
    </cfRule>
  </conditionalFormatting>
  <conditionalFormatting sqref="N406">
    <cfRule type="cellIs" dxfId="188" priority="354" operator="equal">
      <formula>""</formula>
    </cfRule>
  </conditionalFormatting>
  <conditionalFormatting sqref="P406">
    <cfRule type="cellIs" dxfId="187" priority="353" operator="equal">
      <formula>""</formula>
    </cfRule>
  </conditionalFormatting>
  <conditionalFormatting sqref="J402">
    <cfRule type="cellIs" dxfId="186" priority="373" operator="equal">
      <formula>""</formula>
    </cfRule>
  </conditionalFormatting>
  <conditionalFormatting sqref="J403:J405 J407">
    <cfRule type="cellIs" dxfId="185" priority="372" operator="equal">
      <formula>""</formula>
    </cfRule>
  </conditionalFormatting>
  <conditionalFormatting sqref="L402">
    <cfRule type="cellIs" dxfId="184" priority="371" operator="equal">
      <formula>""</formula>
    </cfRule>
  </conditionalFormatting>
  <conditionalFormatting sqref="L403:L405 L407">
    <cfRule type="cellIs" dxfId="183" priority="370" operator="equal">
      <formula>""</formula>
    </cfRule>
  </conditionalFormatting>
  <conditionalFormatting sqref="F402">
    <cfRule type="cellIs" dxfId="182" priority="369" operator="equal">
      <formula>""</formula>
    </cfRule>
  </conditionalFormatting>
  <conditionalFormatting sqref="H403:H405 H407">
    <cfRule type="cellIs" dxfId="181" priority="366" operator="equal">
      <formula>""</formula>
    </cfRule>
  </conditionalFormatting>
  <conditionalFormatting sqref="J406">
    <cfRule type="cellIs" dxfId="180" priority="365" operator="equal">
      <formula>""</formula>
    </cfRule>
  </conditionalFormatting>
  <conditionalFormatting sqref="F403:F405 F407">
    <cfRule type="cellIs" dxfId="179" priority="368" operator="equal">
      <formula>""</formula>
    </cfRule>
  </conditionalFormatting>
  <conditionalFormatting sqref="H402">
    <cfRule type="cellIs" dxfId="178" priority="367" operator="equal">
      <formula>""</formula>
    </cfRule>
  </conditionalFormatting>
  <conditionalFormatting sqref="L406">
    <cfRule type="cellIs" dxfId="177" priority="364" operator="equal">
      <formula>""</formula>
    </cfRule>
  </conditionalFormatting>
  <conditionalFormatting sqref="F406">
    <cfRule type="cellIs" dxfId="176" priority="363" operator="equal">
      <formula>""</formula>
    </cfRule>
  </conditionalFormatting>
  <conditionalFormatting sqref="R403:R405 R407">
    <cfRule type="cellIs" dxfId="175" priority="360" operator="equal">
      <formula>""</formula>
    </cfRule>
  </conditionalFormatting>
  <conditionalFormatting sqref="N402">
    <cfRule type="cellIs" dxfId="174" priority="359" operator="equal">
      <formula>""</formula>
    </cfRule>
  </conditionalFormatting>
  <conditionalFormatting sqref="N403:N405 N407">
    <cfRule type="cellIs" dxfId="173" priority="358" operator="equal">
      <formula>""</formula>
    </cfRule>
  </conditionalFormatting>
  <conditionalFormatting sqref="P402">
    <cfRule type="cellIs" dxfId="172" priority="357" operator="equal">
      <formula>""</formula>
    </cfRule>
  </conditionalFormatting>
  <conditionalFormatting sqref="P403:P405 P407">
    <cfRule type="cellIs" dxfId="171" priority="356" operator="equal">
      <formula>""</formula>
    </cfRule>
  </conditionalFormatting>
  <conditionalFormatting sqref="H406">
    <cfRule type="cellIs" dxfId="170" priority="362" operator="equal">
      <formula>""</formula>
    </cfRule>
  </conditionalFormatting>
  <conditionalFormatting sqref="R402">
    <cfRule type="cellIs" dxfId="169" priority="361" operator="equal">
      <formula>""</formula>
    </cfRule>
  </conditionalFormatting>
  <conditionalFormatting sqref="B373">
    <cfRule type="cellIs" dxfId="168" priority="351" operator="equal">
      <formula>""</formula>
    </cfRule>
  </conditionalFormatting>
  <conditionalFormatting sqref="AM348:AM352">
    <cfRule type="cellIs" dxfId="167" priority="226" operator="equal">
      <formula>""</formula>
    </cfRule>
  </conditionalFormatting>
  <conditionalFormatting sqref="AO347">
    <cfRule type="cellIs" dxfId="166" priority="225" operator="equal">
      <formula>""</formula>
    </cfRule>
  </conditionalFormatting>
  <conditionalFormatting sqref="AO348:AO352">
    <cfRule type="cellIs" dxfId="165" priority="224" operator="equal">
      <formula>""</formula>
    </cfRule>
  </conditionalFormatting>
  <conditionalFormatting sqref="AC330">
    <cfRule type="cellIs" dxfId="164" priority="344" operator="equal">
      <formula>""</formula>
    </cfRule>
  </conditionalFormatting>
  <conditionalFormatting sqref="AG355">
    <cfRule type="cellIs" dxfId="163" priority="219" operator="equal">
      <formula>""</formula>
    </cfRule>
  </conditionalFormatting>
  <conditionalFormatting sqref="AG356:AG360">
    <cfRule type="cellIs" dxfId="162" priority="218" operator="equal">
      <formula>""</formula>
    </cfRule>
  </conditionalFormatting>
  <conditionalFormatting sqref="AI355">
    <cfRule type="cellIs" dxfId="161" priority="217" operator="equal">
      <formula>""</formula>
    </cfRule>
  </conditionalFormatting>
  <conditionalFormatting sqref="AK356:AK360">
    <cfRule type="cellIs" dxfId="160" priority="214" operator="equal">
      <formula>""</formula>
    </cfRule>
  </conditionalFormatting>
  <conditionalFormatting sqref="AM355">
    <cfRule type="cellIs" dxfId="159" priority="213" operator="equal">
      <formula>""</formula>
    </cfRule>
  </conditionalFormatting>
  <conditionalFormatting sqref="AC356:AC360">
    <cfRule type="cellIs" dxfId="158" priority="222" operator="equal">
      <formula>""</formula>
    </cfRule>
  </conditionalFormatting>
  <conditionalFormatting sqref="AE355">
    <cfRule type="cellIs" dxfId="157" priority="221" operator="equal">
      <formula>""</formula>
    </cfRule>
  </conditionalFormatting>
  <conditionalFormatting sqref="AI356:AI360">
    <cfRule type="cellIs" dxfId="156" priority="216" operator="equal">
      <formula>""</formula>
    </cfRule>
  </conditionalFormatting>
  <conditionalFormatting sqref="AK355">
    <cfRule type="cellIs" dxfId="155" priority="215" operator="equal">
      <formula>""</formula>
    </cfRule>
  </conditionalFormatting>
  <conditionalFormatting sqref="AO355">
    <cfRule type="cellIs" dxfId="154" priority="211" operator="equal">
      <formula>""</formula>
    </cfRule>
  </conditionalFormatting>
  <conditionalFormatting sqref="AM356:AM360">
    <cfRule type="cellIs" dxfId="153" priority="212" operator="equal">
      <formula>""</formula>
    </cfRule>
  </conditionalFormatting>
  <conditionalFormatting sqref="AO356:AO360">
    <cfRule type="cellIs" dxfId="152" priority="210" operator="equal">
      <formula>""</formula>
    </cfRule>
  </conditionalFormatting>
  <conditionalFormatting sqref="AC331:AC335">
    <cfRule type="cellIs" dxfId="151" priority="264" operator="equal">
      <formula>""</formula>
    </cfRule>
  </conditionalFormatting>
  <conditionalFormatting sqref="AE330">
    <cfRule type="cellIs" dxfId="150" priority="263" operator="equal">
      <formula>""</formula>
    </cfRule>
  </conditionalFormatting>
  <conditionalFormatting sqref="AE331:AE335">
    <cfRule type="cellIs" dxfId="149" priority="262" operator="equal">
      <formula>""</formula>
    </cfRule>
  </conditionalFormatting>
  <conditionalFormatting sqref="AG330">
    <cfRule type="cellIs" dxfId="148" priority="261" operator="equal">
      <formula>""</formula>
    </cfRule>
  </conditionalFormatting>
  <conditionalFormatting sqref="AG331:AG335">
    <cfRule type="cellIs" dxfId="147" priority="260" operator="equal">
      <formula>""</formula>
    </cfRule>
  </conditionalFormatting>
  <conditionalFormatting sqref="AI330">
    <cfRule type="cellIs" dxfId="146" priority="259" operator="equal">
      <formula>""</formula>
    </cfRule>
  </conditionalFormatting>
  <conditionalFormatting sqref="AI331:AI335">
    <cfRule type="cellIs" dxfId="145" priority="258" operator="equal">
      <formula>""</formula>
    </cfRule>
  </conditionalFormatting>
  <conditionalFormatting sqref="AK330">
    <cfRule type="cellIs" dxfId="144" priority="257" operator="equal">
      <formula>""</formula>
    </cfRule>
  </conditionalFormatting>
  <conditionalFormatting sqref="AK331:AK335">
    <cfRule type="cellIs" dxfId="143" priority="256" operator="equal">
      <formula>""</formula>
    </cfRule>
  </conditionalFormatting>
  <conditionalFormatting sqref="AM330">
    <cfRule type="cellIs" dxfId="142" priority="255" operator="equal">
      <formula>""</formula>
    </cfRule>
  </conditionalFormatting>
  <conditionalFormatting sqref="AM331:AM335">
    <cfRule type="cellIs" dxfId="141" priority="254" operator="equal">
      <formula>""</formula>
    </cfRule>
  </conditionalFormatting>
  <conditionalFormatting sqref="AO330">
    <cfRule type="cellIs" dxfId="140" priority="253" operator="equal">
      <formula>""</formula>
    </cfRule>
  </conditionalFormatting>
  <conditionalFormatting sqref="AO331:AO335">
    <cfRule type="cellIs" dxfId="139" priority="252" operator="equal">
      <formula>""</formula>
    </cfRule>
  </conditionalFormatting>
  <conditionalFormatting sqref="AC338">
    <cfRule type="cellIs" dxfId="138" priority="251" operator="equal">
      <formula>""</formula>
    </cfRule>
  </conditionalFormatting>
  <conditionalFormatting sqref="AC339:AC343">
    <cfRule type="cellIs" dxfId="137" priority="250" operator="equal">
      <formula>""</formula>
    </cfRule>
  </conditionalFormatting>
  <conditionalFormatting sqref="AE338">
    <cfRule type="cellIs" dxfId="136" priority="249" operator="equal">
      <formula>""</formula>
    </cfRule>
  </conditionalFormatting>
  <conditionalFormatting sqref="AE339:AE343">
    <cfRule type="cellIs" dxfId="135" priority="248" operator="equal">
      <formula>""</formula>
    </cfRule>
  </conditionalFormatting>
  <conditionalFormatting sqref="AG338">
    <cfRule type="cellIs" dxfId="134" priority="247" operator="equal">
      <formula>""</formula>
    </cfRule>
  </conditionalFormatting>
  <conditionalFormatting sqref="AG339:AG343">
    <cfRule type="cellIs" dxfId="133" priority="246" operator="equal">
      <formula>""</formula>
    </cfRule>
  </conditionalFormatting>
  <conditionalFormatting sqref="AI338">
    <cfRule type="cellIs" dxfId="132" priority="245" operator="equal">
      <formula>""</formula>
    </cfRule>
  </conditionalFormatting>
  <conditionalFormatting sqref="AI339:AI343">
    <cfRule type="cellIs" dxfId="131" priority="244" operator="equal">
      <formula>""</formula>
    </cfRule>
  </conditionalFormatting>
  <conditionalFormatting sqref="AK338">
    <cfRule type="cellIs" dxfId="130" priority="243" operator="equal">
      <formula>""</formula>
    </cfRule>
  </conditionalFormatting>
  <conditionalFormatting sqref="AK339:AK343">
    <cfRule type="cellIs" dxfId="129" priority="242" operator="equal">
      <formula>""</formula>
    </cfRule>
  </conditionalFormatting>
  <conditionalFormatting sqref="AM338">
    <cfRule type="cellIs" dxfId="128" priority="241" operator="equal">
      <formula>""</formula>
    </cfRule>
  </conditionalFormatting>
  <conditionalFormatting sqref="AM339:AM343">
    <cfRule type="cellIs" dxfId="127" priority="240" operator="equal">
      <formula>""</formula>
    </cfRule>
  </conditionalFormatting>
  <conditionalFormatting sqref="AO338">
    <cfRule type="cellIs" dxfId="126" priority="239" operator="equal">
      <formula>""</formula>
    </cfRule>
  </conditionalFormatting>
  <conditionalFormatting sqref="AO339:AO343">
    <cfRule type="cellIs" dxfId="125" priority="238" operator="equal">
      <formula>""</formula>
    </cfRule>
  </conditionalFormatting>
  <conditionalFormatting sqref="AC347">
    <cfRule type="cellIs" dxfId="124" priority="237" operator="equal">
      <formula>""</formula>
    </cfRule>
  </conditionalFormatting>
  <conditionalFormatting sqref="AC348:AC352">
    <cfRule type="cellIs" dxfId="123" priority="236" operator="equal">
      <formula>""</formula>
    </cfRule>
  </conditionalFormatting>
  <conditionalFormatting sqref="AE347">
    <cfRule type="cellIs" dxfId="122" priority="235" operator="equal">
      <formula>""</formula>
    </cfRule>
  </conditionalFormatting>
  <conditionalFormatting sqref="AE348:AE352">
    <cfRule type="cellIs" dxfId="121" priority="234" operator="equal">
      <formula>""</formula>
    </cfRule>
  </conditionalFormatting>
  <conditionalFormatting sqref="AG347">
    <cfRule type="cellIs" dxfId="120" priority="233" operator="equal">
      <formula>""</formula>
    </cfRule>
  </conditionalFormatting>
  <conditionalFormatting sqref="AG348:AG352">
    <cfRule type="cellIs" dxfId="119" priority="232" operator="equal">
      <formula>""</formula>
    </cfRule>
  </conditionalFormatting>
  <conditionalFormatting sqref="AI347">
    <cfRule type="cellIs" dxfId="118" priority="231" operator="equal">
      <formula>""</formula>
    </cfRule>
  </conditionalFormatting>
  <conditionalFormatting sqref="AI348:AI352">
    <cfRule type="cellIs" dxfId="117" priority="230" operator="equal">
      <formula>""</formula>
    </cfRule>
  </conditionalFormatting>
  <conditionalFormatting sqref="AK347">
    <cfRule type="cellIs" dxfId="116" priority="229" operator="equal">
      <formula>""</formula>
    </cfRule>
  </conditionalFormatting>
  <conditionalFormatting sqref="AK348:AK352">
    <cfRule type="cellIs" dxfId="115" priority="228" operator="equal">
      <formula>""</formula>
    </cfRule>
  </conditionalFormatting>
  <conditionalFormatting sqref="AM347">
    <cfRule type="cellIs" dxfId="114" priority="227" operator="equal">
      <formula>""</formula>
    </cfRule>
  </conditionalFormatting>
  <conditionalFormatting sqref="AC355">
    <cfRule type="cellIs" dxfId="113" priority="223" operator="equal">
      <formula>""</formula>
    </cfRule>
  </conditionalFormatting>
  <conditionalFormatting sqref="AE356:AE360">
    <cfRule type="cellIs" dxfId="112" priority="220" operator="equal">
      <formula>""</formula>
    </cfRule>
  </conditionalFormatting>
  <conditionalFormatting sqref="B109">
    <cfRule type="cellIs" dxfId="111" priority="138" operator="equal">
      <formula>""</formula>
    </cfRule>
  </conditionalFormatting>
  <conditionalFormatting sqref="R387:R388">
    <cfRule type="cellIs" dxfId="110" priority="137" operator="equal">
      <formula>""</formula>
    </cfRule>
  </conditionalFormatting>
  <conditionalFormatting sqref="E390">
    <cfRule type="cellIs" dxfId="109" priority="132" operator="equal">
      <formula>""</formula>
    </cfRule>
  </conditionalFormatting>
  <conditionalFormatting sqref="H390">
    <cfRule type="cellIs" dxfId="108" priority="131" operator="equal">
      <formula>""</formula>
    </cfRule>
  </conditionalFormatting>
  <conditionalFormatting sqref="K390">
    <cfRule type="cellIs" dxfId="107" priority="130" operator="equal">
      <formula>""</formula>
    </cfRule>
  </conditionalFormatting>
  <conditionalFormatting sqref="N390">
    <cfRule type="cellIs" dxfId="106" priority="129" operator="equal">
      <formula>""</formula>
    </cfRule>
  </conditionalFormatting>
  <conditionalFormatting sqref="R390">
    <cfRule type="cellIs" dxfId="105" priority="128" operator="equal">
      <formula>""</formula>
    </cfRule>
  </conditionalFormatting>
  <conditionalFormatting sqref="E492">
    <cfRule type="cellIs" dxfId="104" priority="127" stopIfTrue="1" operator="equal">
      <formula>""</formula>
    </cfRule>
  </conditionalFormatting>
  <conditionalFormatting sqref="N492">
    <cfRule type="cellIs" dxfId="103" priority="126" stopIfTrue="1" operator="equal">
      <formula>""</formula>
    </cfRule>
  </conditionalFormatting>
  <conditionalFormatting sqref="E495">
    <cfRule type="cellIs" dxfId="102" priority="124" stopIfTrue="1" operator="equal">
      <formula>""</formula>
    </cfRule>
  </conditionalFormatting>
  <conditionalFormatting sqref="N495">
    <cfRule type="cellIs" dxfId="101" priority="123" stopIfTrue="1" operator="equal">
      <formula>""</formula>
    </cfRule>
  </conditionalFormatting>
  <conditionalFormatting sqref="S592">
    <cfRule type="cellIs" dxfId="100" priority="109" stopIfTrue="1" operator="equal">
      <formula>""</formula>
    </cfRule>
  </conditionalFormatting>
  <conditionalFormatting sqref="S571:V571">
    <cfRule type="cellIs" dxfId="99" priority="104" operator="equal">
      <formula>""</formula>
    </cfRule>
  </conditionalFormatting>
  <conditionalFormatting sqref="S574:V574">
    <cfRule type="cellIs" dxfId="98" priority="103" operator="equal">
      <formula>""</formula>
    </cfRule>
  </conditionalFormatting>
  <conditionalFormatting sqref="S589:V589">
    <cfRule type="cellIs" dxfId="97" priority="102" operator="equal">
      <formula>""</formula>
    </cfRule>
  </conditionalFormatting>
  <conditionalFormatting sqref="S593:V593">
    <cfRule type="cellIs" dxfId="96" priority="101" operator="equal">
      <formula>""</formula>
    </cfRule>
  </conditionalFormatting>
  <conditionalFormatting sqref="S610:V610">
    <cfRule type="cellIs" dxfId="95" priority="100" operator="equal">
      <formula>""</formula>
    </cfRule>
  </conditionalFormatting>
  <conditionalFormatting sqref="S613:V613">
    <cfRule type="cellIs" dxfId="94" priority="99" operator="equal">
      <formula>""</formula>
    </cfRule>
  </conditionalFormatting>
  <conditionalFormatting sqref="S628:V628">
    <cfRule type="cellIs" dxfId="93" priority="98" operator="equal">
      <formula>""</formula>
    </cfRule>
  </conditionalFormatting>
  <conditionalFormatting sqref="S631:V631">
    <cfRule type="cellIs" dxfId="92" priority="97" operator="equal">
      <formula>""</formula>
    </cfRule>
  </conditionalFormatting>
  <conditionalFormatting sqref="S553:V553">
    <cfRule type="cellIs" dxfId="91" priority="96" operator="equal">
      <formula>""</formula>
    </cfRule>
  </conditionalFormatting>
  <conditionalFormatting sqref="S550:V550">
    <cfRule type="cellIs" dxfId="90" priority="95" operator="equal">
      <formula>""</formula>
    </cfRule>
  </conditionalFormatting>
  <conditionalFormatting sqref="S532:V532">
    <cfRule type="cellIs" dxfId="89" priority="94" operator="equal">
      <formula>""</formula>
    </cfRule>
  </conditionalFormatting>
  <conditionalFormatting sqref="S535:V535">
    <cfRule type="cellIs" dxfId="88" priority="93" operator="equal">
      <formula>""</formula>
    </cfRule>
  </conditionalFormatting>
  <conditionalFormatting sqref="S511:V511">
    <cfRule type="cellIs" dxfId="87" priority="92" operator="equal">
      <formula>""</formula>
    </cfRule>
  </conditionalFormatting>
  <conditionalFormatting sqref="S514:V514">
    <cfRule type="cellIs" dxfId="86" priority="91" operator="equal">
      <formula>""</formula>
    </cfRule>
  </conditionalFormatting>
  <conditionalFormatting sqref="S492:V492">
    <cfRule type="cellIs" dxfId="85" priority="90" operator="equal">
      <formula>""</formula>
    </cfRule>
  </conditionalFormatting>
  <conditionalFormatting sqref="S495:V495">
    <cfRule type="cellIs" dxfId="84" priority="89" operator="equal">
      <formula>""</formula>
    </cfRule>
  </conditionalFormatting>
  <conditionalFormatting sqref="AB387">
    <cfRule type="cellIs" dxfId="83" priority="86" operator="equal">
      <formula>""</formula>
    </cfRule>
  </conditionalFormatting>
  <conditionalFormatting sqref="AC394">
    <cfRule type="cellIs" dxfId="82" priority="81" operator="equal">
      <formula>""</formula>
    </cfRule>
  </conditionalFormatting>
  <conditionalFormatting sqref="AC395:AC399">
    <cfRule type="cellIs" dxfId="81" priority="80" operator="equal">
      <formula>""</formula>
    </cfRule>
  </conditionalFormatting>
  <conditionalFormatting sqref="AE394">
    <cfRule type="cellIs" dxfId="80" priority="79" operator="equal">
      <formula>""</formula>
    </cfRule>
  </conditionalFormatting>
  <conditionalFormatting sqref="AE395:AE399">
    <cfRule type="cellIs" dxfId="79" priority="78" operator="equal">
      <formula>""</formula>
    </cfRule>
  </conditionalFormatting>
  <conditionalFormatting sqref="AG394">
    <cfRule type="cellIs" dxfId="78" priority="77" operator="equal">
      <formula>""</formula>
    </cfRule>
  </conditionalFormatting>
  <conditionalFormatting sqref="AG395:AG399">
    <cfRule type="cellIs" dxfId="77" priority="76" operator="equal">
      <formula>""</formula>
    </cfRule>
  </conditionalFormatting>
  <conditionalFormatting sqref="AI394">
    <cfRule type="cellIs" dxfId="76" priority="75" operator="equal">
      <formula>""</formula>
    </cfRule>
  </conditionalFormatting>
  <conditionalFormatting sqref="AI395:AI399">
    <cfRule type="cellIs" dxfId="75" priority="74" operator="equal">
      <formula>""</formula>
    </cfRule>
  </conditionalFormatting>
  <conditionalFormatting sqref="AK394">
    <cfRule type="cellIs" dxfId="74" priority="73" operator="equal">
      <formula>""</formula>
    </cfRule>
  </conditionalFormatting>
  <conditionalFormatting sqref="AK395:AK399">
    <cfRule type="cellIs" dxfId="73" priority="72" operator="equal">
      <formula>""</formula>
    </cfRule>
  </conditionalFormatting>
  <conditionalFormatting sqref="AM394">
    <cfRule type="cellIs" dxfId="72" priority="71" operator="equal">
      <formula>""</formula>
    </cfRule>
  </conditionalFormatting>
  <conditionalFormatting sqref="AM395:AM399">
    <cfRule type="cellIs" dxfId="71" priority="70" operator="equal">
      <formula>""</formula>
    </cfRule>
  </conditionalFormatting>
  <conditionalFormatting sqref="AO394">
    <cfRule type="cellIs" dxfId="70" priority="69" operator="equal">
      <formula>""</formula>
    </cfRule>
  </conditionalFormatting>
  <conditionalFormatting sqref="AO395:AO399">
    <cfRule type="cellIs" dxfId="69" priority="68" operator="equal">
      <formula>""</formula>
    </cfRule>
  </conditionalFormatting>
  <conditionalFormatting sqref="AC402">
    <cfRule type="cellIs" dxfId="68" priority="67" operator="equal">
      <formula>""</formula>
    </cfRule>
  </conditionalFormatting>
  <conditionalFormatting sqref="AC403:AC407">
    <cfRule type="cellIs" dxfId="67" priority="66" operator="equal">
      <formula>""</formula>
    </cfRule>
  </conditionalFormatting>
  <conditionalFormatting sqref="AE402">
    <cfRule type="cellIs" dxfId="66" priority="65" operator="equal">
      <formula>""</formula>
    </cfRule>
  </conditionalFormatting>
  <conditionalFormatting sqref="AE403:AE407">
    <cfRule type="cellIs" dxfId="65" priority="64" operator="equal">
      <formula>""</formula>
    </cfRule>
  </conditionalFormatting>
  <conditionalFormatting sqref="AG402">
    <cfRule type="cellIs" dxfId="64" priority="63" operator="equal">
      <formula>""</formula>
    </cfRule>
  </conditionalFormatting>
  <conditionalFormatting sqref="AG403:AG407">
    <cfRule type="cellIs" dxfId="63" priority="62" operator="equal">
      <formula>""</formula>
    </cfRule>
  </conditionalFormatting>
  <conditionalFormatting sqref="AI402">
    <cfRule type="cellIs" dxfId="62" priority="61" operator="equal">
      <formula>""</formula>
    </cfRule>
  </conditionalFormatting>
  <conditionalFormatting sqref="AI403:AI407">
    <cfRule type="cellIs" dxfId="61" priority="60" operator="equal">
      <formula>""</formula>
    </cfRule>
  </conditionalFormatting>
  <conditionalFormatting sqref="AK402">
    <cfRule type="cellIs" dxfId="60" priority="59" operator="equal">
      <formula>""</formula>
    </cfRule>
  </conditionalFormatting>
  <conditionalFormatting sqref="AK403:AK407">
    <cfRule type="cellIs" dxfId="59" priority="58" operator="equal">
      <formula>""</formula>
    </cfRule>
  </conditionalFormatting>
  <conditionalFormatting sqref="AM402">
    <cfRule type="cellIs" dxfId="58" priority="57" operator="equal">
      <formula>""</formula>
    </cfRule>
  </conditionalFormatting>
  <conditionalFormatting sqref="AM403:AM407">
    <cfRule type="cellIs" dxfId="57" priority="56" operator="equal">
      <formula>""</formula>
    </cfRule>
  </conditionalFormatting>
  <conditionalFormatting sqref="AO402">
    <cfRule type="cellIs" dxfId="56" priority="55" operator="equal">
      <formula>""</formula>
    </cfRule>
  </conditionalFormatting>
  <conditionalFormatting sqref="AO403:AO407">
    <cfRule type="cellIs" dxfId="55" priority="54" operator="equal">
      <formula>""</formula>
    </cfRule>
  </conditionalFormatting>
  <conditionalFormatting sqref="AE387">
    <cfRule type="cellIs" dxfId="54" priority="53" operator="equal">
      <formula>""</formula>
    </cfRule>
  </conditionalFormatting>
  <conditionalFormatting sqref="AH387">
    <cfRule type="cellIs" dxfId="53" priority="52" operator="equal">
      <formula>""</formula>
    </cfRule>
  </conditionalFormatting>
  <conditionalFormatting sqref="AK387">
    <cfRule type="cellIs" dxfId="52" priority="51" operator="equal">
      <formula>""</formula>
    </cfRule>
  </conditionalFormatting>
  <conditionalFormatting sqref="AB388">
    <cfRule type="cellIs" dxfId="51" priority="50" operator="equal">
      <formula>""</formula>
    </cfRule>
  </conditionalFormatting>
  <conditionalFormatting sqref="AE388">
    <cfRule type="cellIs" dxfId="50" priority="49" operator="equal">
      <formula>""</formula>
    </cfRule>
  </conditionalFormatting>
  <conditionalFormatting sqref="AH388">
    <cfRule type="cellIs" dxfId="49" priority="48" operator="equal">
      <formula>""</formula>
    </cfRule>
  </conditionalFormatting>
  <conditionalFormatting sqref="AK388">
    <cfRule type="cellIs" dxfId="48" priority="47" operator="equal">
      <formula>""</formula>
    </cfRule>
  </conditionalFormatting>
  <conditionalFormatting sqref="O687:O721 R687:R721">
    <cfRule type="cellIs" dxfId="47" priority="46" operator="equal">
      <formula>""</formula>
    </cfRule>
  </conditionalFormatting>
  <conditionalFormatting sqref="L733:T733">
    <cfRule type="cellIs" dxfId="46" priority="44" operator="equal">
      <formula>""</formula>
    </cfRule>
  </conditionalFormatting>
  <conditionalFormatting sqref="L685">
    <cfRule type="cellIs" dxfId="45" priority="42" operator="equal">
      <formula>""</formula>
    </cfRule>
  </conditionalFormatting>
  <conditionalFormatting sqref="O727 R727 O722:O725 R722:R725">
    <cfRule type="cellIs" dxfId="44" priority="41" operator="equal">
      <formula>""</formula>
    </cfRule>
  </conditionalFormatting>
  <conditionalFormatting sqref="O726 R726">
    <cfRule type="cellIs" dxfId="43" priority="40" operator="equal">
      <formula>""</formula>
    </cfRule>
  </conditionalFormatting>
  <conditionalFormatting sqref="N778:V778">
    <cfRule type="cellIs" dxfId="42" priority="36" operator="equal">
      <formula>""</formula>
    </cfRule>
  </conditionalFormatting>
  <conditionalFormatting sqref="H457:K457">
    <cfRule type="cellIs" dxfId="41" priority="33" operator="equal">
      <formula>""</formula>
    </cfRule>
  </conditionalFormatting>
  <conditionalFormatting sqref="B457">
    <cfRule type="cellIs" dxfId="40" priority="32" operator="equal">
      <formula>""</formula>
    </cfRule>
  </conditionalFormatting>
  <conditionalFormatting sqref="N457:Q457">
    <cfRule type="cellIs" dxfId="39" priority="31" operator="equal">
      <formula>""</formula>
    </cfRule>
  </conditionalFormatting>
  <conditionalFormatting sqref="L197">
    <cfRule type="cellIs" dxfId="38" priority="29" operator="equal">
      <formula>""</formula>
    </cfRule>
    <cfRule type="cellIs" dxfId="37" priority="30" operator="equal">
      <formula>""</formula>
    </cfRule>
  </conditionalFormatting>
  <conditionalFormatting sqref="S205:S207">
    <cfRule type="cellIs" dxfId="36" priority="21" stopIfTrue="1" operator="equal">
      <formula>""</formula>
    </cfRule>
  </conditionalFormatting>
  <conditionalFormatting sqref="G208">
    <cfRule type="cellIs" dxfId="35" priority="20" stopIfTrue="1" operator="equal">
      <formula>""</formula>
    </cfRule>
  </conditionalFormatting>
  <conditionalFormatting sqref="L200:L201">
    <cfRule type="cellIs" dxfId="34" priority="17" operator="equal">
      <formula>""</formula>
    </cfRule>
    <cfRule type="cellIs" dxfId="33" priority="18" operator="equal">
      <formula>""</formula>
    </cfRule>
  </conditionalFormatting>
  <conditionalFormatting sqref="Q211 Q213:Q218">
    <cfRule type="cellIs" dxfId="32" priority="15" operator="equal">
      <formula>""</formula>
    </cfRule>
    <cfRule type="cellIs" dxfId="31" priority="16" operator="equal">
      <formula>""</formula>
    </cfRule>
  </conditionalFormatting>
  <conditionalFormatting sqref="G273:N273">
    <cfRule type="cellIs" dxfId="30" priority="7" operator="equal">
      <formula>""</formula>
    </cfRule>
  </conditionalFormatting>
  <conditionalFormatting sqref="H146:J146">
    <cfRule type="cellIs" dxfId="29" priority="6" operator="equal">
      <formula>""</formula>
    </cfRule>
  </conditionalFormatting>
  <conditionalFormatting sqref="Q780:Q806 T780:T806">
    <cfRule type="cellIs" dxfId="28" priority="5" operator="equal">
      <formula>""</formula>
    </cfRule>
  </conditionalFormatting>
  <conditionalFormatting sqref="L737:T737">
    <cfRule type="cellIs" dxfId="27" priority="2" operator="equal">
      <formula>""</formula>
    </cfRule>
  </conditionalFormatting>
  <conditionalFormatting sqref="L755:T756">
    <cfRule type="cellIs" dxfId="26" priority="1" operator="equal">
      <formula>""</formula>
    </cfRule>
  </conditionalFormatting>
  <dataValidations count="37">
    <dataValidation type="list" allowBlank="1" showInputMessage="1" showErrorMessage="1" sqref="Q163:Q165 U252:U256 Q241 Q155 Q243:Q245 Q175:S177 Q179:S181 Q183:S192 Q167:S173" xr:uid="{00000000-0002-0000-0000-000000000000}">
      <formula1>"1,2"</formula1>
    </dataValidation>
    <dataValidation type="list" allowBlank="1" showInputMessage="1" showErrorMessage="1" sqref="Q157:Q162 Q166:S166 Q178:S178 Q182:S182" xr:uid="{00000000-0002-0000-0000-000001000000}">
      <formula1>"1,2,3"</formula1>
    </dataValidation>
    <dataValidation type="list" allowBlank="1" showInputMessage="1" showErrorMessage="1" sqref="D46:J46" xr:uid="{00000000-0002-0000-0000-000002000000}">
      <formula1>"①公設民営（指定管理の運営者）,②民設民営"</formula1>
    </dataValidation>
    <dataValidation type="list" allowBlank="1" showInputMessage="1" showErrorMessage="1" sqref="D52:J52" xr:uid="{00000000-0002-0000-0000-000003000000}">
      <formula1>"①ユニット型個室,②従来型"</formula1>
    </dataValidation>
    <dataValidation type="custom" errorStyle="warning" allowBlank="1" showInputMessage="1" showErrorMessage="1" errorTitle="合計人数の確認" error="「①特養」の年間利用者延べ人数と一致していません。数値を確認してください。" promptTitle="合計人数の確認" prompt="特養の年間利用者延べ人数に一致するか確認してください。外泊などで必ずしも一致しない場合もあります。" sqref="B81:D81" xr:uid="{00000000-0002-0000-0000-000004000000}">
      <formula1>B68</formula1>
    </dataValidation>
    <dataValidation type="list" allowBlank="1" showInputMessage="1" showErrorMessage="1" sqref="Q156" xr:uid="{00000000-0002-0000-0000-000005000000}">
      <formula1>"1,2,3,4,5"</formula1>
    </dataValidation>
    <dataValidation type="list" allowBlank="1" showInputMessage="1" showErrorMessage="1" sqref="P486:Q486 P526:Q526 P583:Q583 P604:Q604 P544:Q544 P565:Q565 P622:Q622 P505:Q505" xr:uid="{00000000-0002-0000-0000-000006000000}">
      <formula1>"該当する"</formula1>
    </dataValidation>
    <dataValidation type="list" allowBlank="1" showInputMessage="1" showErrorMessage="1" sqref="D486:E486 D526:E526 D583:E583 D604:E604 D544:E544 D565:E565 D622:E622 D505:E505" xr:uid="{00000000-0002-0000-0000-000007000000}">
      <formula1>"男,女"</formula1>
    </dataValidation>
    <dataValidation type="list" allowBlank="1" showInputMessage="1" showErrorMessage="1" sqref="E497:H497 N497:Q497 E537:H537 N537:Q537 E594:H594 N594:Q594 E615:H615 N615:Q615 E555:H555 N555:Q555 E576:H576 N576:Q576 E633:H633 N633:Q633 E516:H516 N516:Q516" xr:uid="{00000000-0002-0000-0000-000008000000}">
      <formula1>"1介護福祉士,2社会福祉士,3精神保健福祉士,4介護支援専門員,5介護職員初任者研修課程修了（旧ヘルパー1・2級相当）,6認知症介護指導者養成研修課程修了,7その他"</formula1>
    </dataValidation>
    <dataValidation type="whole" errorStyle="warning" allowBlank="1" showInputMessage="1" showErrorMessage="1" errorTitle="合計人数の確認" error="「①特養」の年間利用者延べ人数と数値が一致していません。数値を確認してください。" promptTitle="合計人数の確認" prompt="特養の年間利用者延べ人数に一致するか確認してください。外泊などで必ずしも一致しない場合もあります。" sqref="B76:D76" xr:uid="{00000000-0002-0000-0000-000009000000}">
      <formula1>B68*0.8</formula1>
      <formula2>B68*1.2</formula2>
    </dataValidation>
    <dataValidation type="whole" allowBlank="1" showInputMessage="1" showErrorMessage="1" sqref="H137:J138" xr:uid="{00000000-0002-0000-0000-00000A000000}">
      <formula1>500</formula1>
      <formula2>4000</formula2>
    </dataValidation>
    <dataValidation type="whole" allowBlank="1" showInputMessage="1" showErrorMessage="1" sqref="H141:J141" xr:uid="{00000000-0002-0000-0000-00000B000000}">
      <formula1>0</formula1>
      <formula2>2000</formula2>
    </dataValidation>
    <dataValidation type="custom" allowBlank="1" showInputMessage="1" showErrorMessage="1" sqref="V68:V69" xr:uid="{00000000-0002-0000-0000-00000C000000}">
      <formula1>1</formula1>
    </dataValidation>
    <dataValidation type="custom" allowBlank="1" showInputMessage="1" showErrorMessage="1" promptTitle="年間利生者延べ人数の確認" prompt="「②短期入所」の内、特養の空床における延べ人数（内数）を回答してください。" sqref="L68:N68" xr:uid="{00000000-0002-0000-0000-00000D000000}">
      <formula1>L68&lt;G68</formula1>
    </dataValidation>
    <dataValidation type="whole" operator="greaterThan" allowBlank="1" showInputMessage="1" showErrorMessage="1" sqref="B68:D68" xr:uid="{00000000-0002-0000-0000-00000E000000}">
      <formula1>B59</formula1>
    </dataValidation>
    <dataValidation type="whole" operator="greaterThan" allowBlank="1" showInputMessage="1" showErrorMessage="1" sqref="G68:I68" xr:uid="{00000000-0002-0000-0000-00000F000000}">
      <formula1>F59</formula1>
    </dataValidation>
    <dataValidation allowBlank="1" showInputMessage="1" showErrorMessage="1" promptTitle="合計人数の確認" prompt="特養の年間利用者延べ人数に一致するか確認してください。外泊などで必ずしも一致しない場合もあります。" sqref="B86:D86" xr:uid="{00000000-0002-0000-0000-000010000000}"/>
    <dataValidation allowBlank="1" showInputMessage="1" showErrorMessage="1" promptTitle="年間延べ人数の確認" prompt="対象者数ではなく、年間延べ人数を回答してください。" sqref="L118:N118" xr:uid="{00000000-0002-0000-0000-000011000000}"/>
    <dataValidation type="list" allowBlank="1" showInputMessage="1" showErrorMessage="1" promptTitle="職員配置の回答基準の選択" prompt="いずれかを必ず選択したうえで、職員の実人数および常勤換算職員数を回答してください。" sqref="A290:F290" xr:uid="{00000000-0002-0000-0000-000012000000}">
      <formula1>"1:年間平均（1ヶ月月当たり）,2:2019年3月末時点"</formula1>
    </dataValidation>
    <dataValidation type="list" allowBlank="1" showInputMessage="1" showErrorMessage="1" sqref="N778:V778" xr:uid="{00000000-0002-0000-0000-000013000000}">
      <formula1>"1.特養のみ,2.特養+短期入所,3.拠点区分,4.法人全体"</formula1>
    </dataValidation>
    <dataValidation type="list" allowBlank="1" showInputMessage="1" showErrorMessage="1" sqref="F667:G673" xr:uid="{00000000-0002-0000-0000-000014000000}">
      <formula1>"正看護,准看護"</formula1>
    </dataValidation>
    <dataValidation type="list" allowBlank="1" showInputMessage="1" showErrorMessage="1" sqref="F678:M678" xr:uid="{00000000-0002-0000-0000-000015000000}">
      <formula1>"1.常勤医師を配置,2.併設診療所より派遣,3.嘱託医（地域の協力医療機関と連携）"</formula1>
    </dataValidation>
    <dataValidation type="list" allowBlank="1" showInputMessage="1" showErrorMessage="1" sqref="D53:H53" xr:uid="{00000000-0002-0000-0000-000016000000}">
      <formula1>"1階建て（平屋）,2階建て,3階建て,4階建て,5階建て,5階建て以上"</formula1>
    </dataValidation>
    <dataValidation type="list" allowBlank="1" showInputMessage="1" showErrorMessage="1" sqref="L231 M219 Q213:Q219 U222:U225 U227:U229 P231 T231 W386:W391 S205:S207 Q211 O274:O275 N261:N272 I219" xr:uid="{00000000-0002-0000-0000-000018000000}">
      <formula1>"1"</formula1>
    </dataValidation>
    <dataValidation type="whole" allowBlank="1" showInputMessage="1" showErrorMessage="1" sqref="H139:J139" xr:uid="{00000000-0002-0000-0000-000019000000}">
      <formula1>500</formula1>
      <formula2>7000</formula2>
    </dataValidation>
    <dataValidation type="list" allowBlank="1" showInputMessage="1" showErrorMessage="1" sqref="L685" xr:uid="{00000000-0002-0000-0000-00001A000000}">
      <formula1>"1.特養のみ,2.特養+短期入所"</formula1>
    </dataValidation>
    <dataValidation type="list" allowBlank="1" showInputMessage="1" showErrorMessage="1" sqref="B371:J371" xr:uid="{00000000-0002-0000-0000-00001B000000}">
      <formula1>"定年年齢の引き上げ（1度に65歳まで引き上げる）,定年年齢の引き上げ（段階的に65歳に引き上げる）,継続雇用延長,定年の廃止"</formula1>
    </dataValidation>
    <dataValidation type="list" allowBlank="1" showInputMessage="1" showErrorMessage="1" sqref="B373:C373" xr:uid="{00000000-0002-0000-0000-00001C000000}">
      <formula1>"62,63,64,65,66,67,68,69,70"</formula1>
    </dataValidation>
    <dataValidation type="list" allowBlank="1" showInputMessage="1" showErrorMessage="1" sqref="Q154:S154" xr:uid="{00000000-0002-0000-0000-00001D000000}">
      <formula1>"1,2,3,4,5,6"</formula1>
    </dataValidation>
    <dataValidation allowBlank="1" showInputMessage="1" showErrorMessage="1" promptTitle="派遣委託職員の回答" prompt="職員配置の回答基準が「平成30年3月時点」で、当月に該当者がいない場合であっても、「20．委託費の内訳」の「１派遣職員」に回答がある場合は、委託費相当の年間延べ人数（実人数）、常勤換算職員数を回答してください。" sqref="P292:Q297" xr:uid="{00000000-0002-0000-0000-00001E000000}"/>
    <dataValidation type="list" allowBlank="1" showInputMessage="1" showErrorMessage="1" sqref="Q174:S174" xr:uid="{00000000-0002-0000-0000-00001F000000}">
      <formula1>"1,2,3,4"</formula1>
    </dataValidation>
    <dataValidation type="list" allowBlank="1" showInputMessage="1" showErrorMessage="1" sqref="B457" xr:uid="{00000000-0002-0000-0000-000020000000}">
      <formula1>"16時間夜勤（2交替）,8時間夜勤（3交替）"</formula1>
    </dataValidation>
    <dataValidation type="list" allowBlank="1" showInputMessage="1" showErrorMessage="1" sqref="L201" xr:uid="{00000000-0002-0000-0000-000021000000}">
      <formula1>"自法人のみの経験年数,他法人での経験年数を含める,その他"</formula1>
    </dataValidation>
    <dataValidation type="list" allowBlank="1" showInputMessage="1" showErrorMessage="1" sqref="L200:Q200 R212:W212" xr:uid="{00000000-0002-0000-0000-000022000000}">
      <formula1>"考慮する,考慮しない"</formula1>
    </dataValidation>
    <dataValidation type="list" allowBlank="1" showInputMessage="1" showErrorMessage="1" sqref="J259:J260 H258" xr:uid="{00000000-0002-0000-0000-000023000000}">
      <formula1>$Y$261:$Y$264</formula1>
    </dataValidation>
    <dataValidation type="list" allowBlank="1" showInputMessage="1" showErrorMessage="1" sqref="L197:Q199 L205:Q209" xr:uid="{00000000-0002-0000-0000-000024000000}">
      <formula1>"Ⅰ,Ⅱ,算定しない,現時点で決まっていない"</formula1>
    </dataValidation>
    <dataValidation type="list" allowBlank="1" showInputMessage="1" showErrorMessage="1" sqref="L733:T733" xr:uid="{7433207F-B2B7-4E62-81A5-8BDB305CEAEB}">
      <formula1>"3.拠点区分"</formula1>
    </dataValidation>
  </dataValidations>
  <printOptions horizontalCentered="1"/>
  <pageMargins left="0.31496062992125984" right="0.31496062992125984" top="0.15748031496062992" bottom="0.15748031496062992" header="0.31496062992125984" footer="0.31496062992125984"/>
  <pageSetup paperSize="9" scale="82" orientation="portrait" r:id="rId1"/>
  <headerFooter differentOddEven="1" differentFirst="1">
    <oddFooter>&amp;R&amp;P</oddFooter>
    <evenFooter>&amp;L&amp;P</evenFooter>
  </headerFooter>
  <rowBreaks count="16" manualBreakCount="16">
    <brk id="35" max="16383" man="1"/>
    <brk id="81" max="22" man="1"/>
    <brk id="147" max="22" man="1"/>
    <brk id="193" max="22" man="1"/>
    <brk id="276" max="21" man="1"/>
    <brk id="324" max="22" man="1"/>
    <brk id="362" max="22" man="1"/>
    <brk id="408" max="22" man="1"/>
    <brk id="457" max="22" man="1"/>
    <brk id="482" max="22" man="1"/>
    <brk id="522" max="22" man="1"/>
    <brk id="561" max="22" man="1"/>
    <brk id="600" max="22" man="1"/>
    <brk id="639" max="22" man="1"/>
    <brk id="727" max="22" man="1"/>
    <brk id="772" max="22" man="1"/>
  </rowBreaks>
  <colBreaks count="1" manualBreakCount="1">
    <brk id="22"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7000000}">
          <x14:formula1>
            <xm:f>地域!$A$3:$A$5</xm:f>
          </x14:formula1>
          <xm:sqref>I50:J50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B46"/>
  <sheetViews>
    <sheetView topLeftCell="A25" workbookViewId="0">
      <selection activeCell="B47" sqref="B47"/>
    </sheetView>
  </sheetViews>
  <sheetFormatPr defaultRowHeight="13.5" x14ac:dyDescent="0.15"/>
  <cols>
    <col min="1" max="1" width="27.625" style="174" customWidth="1"/>
    <col min="2" max="2" width="10.625" style="172" customWidth="1"/>
  </cols>
  <sheetData>
    <row r="1" spans="1:2" x14ac:dyDescent="0.15">
      <c r="A1" s="173" t="s">
        <v>783</v>
      </c>
      <c r="B1" s="171" t="s">
        <v>782</v>
      </c>
    </row>
    <row r="2" spans="1:2" x14ac:dyDescent="0.15">
      <c r="A2" s="569" t="s">
        <v>2007</v>
      </c>
      <c r="B2" s="568" t="s">
        <v>1964</v>
      </c>
    </row>
    <row r="3" spans="1:2" x14ac:dyDescent="0.15">
      <c r="A3" s="569" t="s">
        <v>2008</v>
      </c>
      <c r="B3" s="568" t="s">
        <v>1965</v>
      </c>
    </row>
    <row r="4" spans="1:2" x14ac:dyDescent="0.15">
      <c r="A4" s="570" t="s">
        <v>2009</v>
      </c>
      <c r="B4" s="568" t="s">
        <v>1966</v>
      </c>
    </row>
    <row r="5" spans="1:2" x14ac:dyDescent="0.15">
      <c r="A5" s="569" t="s">
        <v>2010</v>
      </c>
      <c r="B5" s="568" t="s">
        <v>1967</v>
      </c>
    </row>
    <row r="6" spans="1:2" x14ac:dyDescent="0.15">
      <c r="A6" s="569" t="s">
        <v>2011</v>
      </c>
      <c r="B6" s="568" t="s">
        <v>1968</v>
      </c>
    </row>
    <row r="7" spans="1:2" x14ac:dyDescent="0.15">
      <c r="A7" s="569" t="s">
        <v>2012</v>
      </c>
      <c r="B7" s="568" t="s">
        <v>1969</v>
      </c>
    </row>
    <row r="8" spans="1:2" x14ac:dyDescent="0.15">
      <c r="A8" s="569" t="s">
        <v>2013</v>
      </c>
      <c r="B8" s="568" t="s">
        <v>1970</v>
      </c>
    </row>
    <row r="9" spans="1:2" x14ac:dyDescent="0.15">
      <c r="A9" s="569" t="s">
        <v>2014</v>
      </c>
      <c r="B9" s="568" t="s">
        <v>1971</v>
      </c>
    </row>
    <row r="10" spans="1:2" x14ac:dyDescent="0.15">
      <c r="A10" s="569" t="s">
        <v>2015</v>
      </c>
      <c r="B10" s="568" t="s">
        <v>1972</v>
      </c>
    </row>
    <row r="11" spans="1:2" x14ac:dyDescent="0.15">
      <c r="A11" s="569" t="s">
        <v>2016</v>
      </c>
      <c r="B11" s="568" t="s">
        <v>1973</v>
      </c>
    </row>
    <row r="12" spans="1:2" x14ac:dyDescent="0.15">
      <c r="A12" s="569" t="s">
        <v>2017</v>
      </c>
      <c r="B12" s="568" t="s">
        <v>1974</v>
      </c>
    </row>
    <row r="13" spans="1:2" x14ac:dyDescent="0.15">
      <c r="A13" s="569" t="s">
        <v>2018</v>
      </c>
      <c r="B13" s="568" t="s">
        <v>1975</v>
      </c>
    </row>
    <row r="14" spans="1:2" x14ac:dyDescent="0.15">
      <c r="A14" s="569" t="s">
        <v>2019</v>
      </c>
      <c r="B14" s="568" t="s">
        <v>1976</v>
      </c>
    </row>
    <row r="15" spans="1:2" x14ac:dyDescent="0.15">
      <c r="A15" s="569" t="s">
        <v>2020</v>
      </c>
      <c r="B15" s="568" t="s">
        <v>1977</v>
      </c>
    </row>
    <row r="16" spans="1:2" x14ac:dyDescent="0.15">
      <c r="A16" s="569" t="s">
        <v>2021</v>
      </c>
      <c r="B16" s="568" t="s">
        <v>1978</v>
      </c>
    </row>
    <row r="17" spans="1:2" x14ac:dyDescent="0.15">
      <c r="A17" s="569" t="s">
        <v>2022</v>
      </c>
      <c r="B17" s="568" t="s">
        <v>1979</v>
      </c>
    </row>
    <row r="18" spans="1:2" x14ac:dyDescent="0.15">
      <c r="A18" s="569" t="s">
        <v>2023</v>
      </c>
      <c r="B18" s="568" t="s">
        <v>1980</v>
      </c>
    </row>
    <row r="19" spans="1:2" x14ac:dyDescent="0.15">
      <c r="A19" s="569" t="s">
        <v>2024</v>
      </c>
      <c r="B19" s="568" t="s">
        <v>1981</v>
      </c>
    </row>
    <row r="20" spans="1:2" x14ac:dyDescent="0.15">
      <c r="A20" s="569" t="s">
        <v>2025</v>
      </c>
      <c r="B20" s="568"/>
    </row>
    <row r="21" spans="1:2" x14ac:dyDescent="0.15">
      <c r="A21" s="569" t="s">
        <v>2026</v>
      </c>
      <c r="B21" s="568" t="s">
        <v>1982</v>
      </c>
    </row>
    <row r="22" spans="1:2" x14ac:dyDescent="0.15">
      <c r="A22" s="569" t="s">
        <v>2027</v>
      </c>
      <c r="B22" s="568" t="s">
        <v>1983</v>
      </c>
    </row>
    <row r="23" spans="1:2" x14ac:dyDescent="0.15">
      <c r="A23" s="569" t="s">
        <v>2028</v>
      </c>
      <c r="B23" s="568" t="s">
        <v>1984</v>
      </c>
    </row>
    <row r="24" spans="1:2" x14ac:dyDescent="0.15">
      <c r="A24" s="569" t="s">
        <v>2029</v>
      </c>
      <c r="B24" s="568" t="s">
        <v>1985</v>
      </c>
    </row>
    <row r="25" spans="1:2" x14ac:dyDescent="0.15">
      <c r="A25" s="569" t="s">
        <v>2030</v>
      </c>
      <c r="B25" s="568" t="s">
        <v>1986</v>
      </c>
    </row>
    <row r="26" spans="1:2" x14ac:dyDescent="0.15">
      <c r="A26" s="569" t="s">
        <v>2031</v>
      </c>
      <c r="B26" s="568" t="s">
        <v>1987</v>
      </c>
    </row>
    <row r="27" spans="1:2" x14ac:dyDescent="0.15">
      <c r="A27" s="569" t="s">
        <v>2032</v>
      </c>
      <c r="B27" s="568" t="s">
        <v>1988</v>
      </c>
    </row>
    <row r="28" spans="1:2" x14ac:dyDescent="0.15">
      <c r="A28" s="569" t="s">
        <v>2033</v>
      </c>
      <c r="B28" s="568" t="s">
        <v>1989</v>
      </c>
    </row>
    <row r="29" spans="1:2" x14ac:dyDescent="0.15">
      <c r="A29" s="569" t="s">
        <v>2034</v>
      </c>
      <c r="B29" s="568" t="s">
        <v>1990</v>
      </c>
    </row>
    <row r="30" spans="1:2" x14ac:dyDescent="0.15">
      <c r="A30" s="570" t="s">
        <v>2035</v>
      </c>
      <c r="B30" s="568" t="s">
        <v>1991</v>
      </c>
    </row>
    <row r="31" spans="1:2" x14ac:dyDescent="0.15">
      <c r="A31" s="569" t="s">
        <v>2036</v>
      </c>
      <c r="B31" s="568" t="s">
        <v>1992</v>
      </c>
    </row>
    <row r="32" spans="1:2" x14ac:dyDescent="0.15">
      <c r="A32" s="569" t="s">
        <v>2037</v>
      </c>
      <c r="B32" s="568" t="s">
        <v>1993</v>
      </c>
    </row>
    <row r="33" spans="1:2" x14ac:dyDescent="0.15">
      <c r="A33" s="569" t="s">
        <v>2038</v>
      </c>
      <c r="B33" s="568" t="s">
        <v>1994</v>
      </c>
    </row>
    <row r="34" spans="1:2" x14ac:dyDescent="0.15">
      <c r="A34" s="569" t="s">
        <v>2039</v>
      </c>
      <c r="B34" s="568" t="s">
        <v>1995</v>
      </c>
    </row>
    <row r="35" spans="1:2" x14ac:dyDescent="0.15">
      <c r="A35" s="569" t="s">
        <v>2040</v>
      </c>
      <c r="B35" s="568" t="s">
        <v>1996</v>
      </c>
    </row>
    <row r="36" spans="1:2" x14ac:dyDescent="0.15">
      <c r="A36" s="569" t="s">
        <v>2041</v>
      </c>
      <c r="B36" s="568" t="s">
        <v>1997</v>
      </c>
    </row>
    <row r="37" spans="1:2" x14ac:dyDescent="0.15">
      <c r="A37" s="569" t="s">
        <v>2042</v>
      </c>
      <c r="B37" s="568" t="s">
        <v>1998</v>
      </c>
    </row>
    <row r="38" spans="1:2" x14ac:dyDescent="0.15">
      <c r="A38" s="569" t="s">
        <v>2043</v>
      </c>
      <c r="B38" s="568" t="s">
        <v>1999</v>
      </c>
    </row>
    <row r="39" spans="1:2" x14ac:dyDescent="0.15">
      <c r="A39" s="569" t="s">
        <v>2044</v>
      </c>
      <c r="B39" s="568" t="s">
        <v>2000</v>
      </c>
    </row>
    <row r="40" spans="1:2" x14ac:dyDescent="0.15">
      <c r="A40" s="571" t="s">
        <v>2045</v>
      </c>
      <c r="B40" s="568" t="s">
        <v>2001</v>
      </c>
    </row>
    <row r="41" spans="1:2" x14ac:dyDescent="0.15">
      <c r="A41" s="572" t="s">
        <v>2046</v>
      </c>
      <c r="B41" s="568" t="s">
        <v>2002</v>
      </c>
    </row>
    <row r="42" spans="1:2" x14ac:dyDescent="0.15">
      <c r="A42" s="571" t="s">
        <v>2047</v>
      </c>
      <c r="B42" s="568" t="s">
        <v>2003</v>
      </c>
    </row>
    <row r="43" spans="1:2" x14ac:dyDescent="0.15">
      <c r="A43" s="572" t="s">
        <v>2048</v>
      </c>
      <c r="B43" s="568" t="s">
        <v>2004</v>
      </c>
    </row>
    <row r="44" spans="1:2" x14ac:dyDescent="0.15">
      <c r="A44" s="572" t="s">
        <v>2049</v>
      </c>
      <c r="B44" s="568" t="s">
        <v>2005</v>
      </c>
    </row>
    <row r="45" spans="1:2" x14ac:dyDescent="0.15">
      <c r="A45" s="573" t="s">
        <v>2050</v>
      </c>
      <c r="B45" s="568" t="s">
        <v>2006</v>
      </c>
    </row>
    <row r="46" spans="1:2" x14ac:dyDescent="0.15">
      <c r="A46" s="365" t="s">
        <v>1953</v>
      </c>
      <c r="B46" s="366" t="s">
        <v>2051</v>
      </c>
    </row>
  </sheetData>
  <phoneticPr fontId="27"/>
  <dataValidations count="1">
    <dataValidation type="list" allowBlank="1" showInputMessage="1" showErrorMessage="1" sqref="A65529:A65530 A131065:A131066 A196601:A196602 A262137:A262138 A327673:A327674 A393209:A393210 A458745:A458746 A524281:A524282 A589817:A589818 A655353:A655354 A720889:A720890 A786425:A786426 A851961:A851962 A917497:A917498 A983033:A983034" xr:uid="{00000000-0002-0000-0B00-000000000000}">
      <formula1>"回収, 未回収確定,回収見込"</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9"/>
  </sheetPr>
  <dimension ref="A1:V652"/>
  <sheetViews>
    <sheetView showGridLines="0" view="pageBreakPreview" zoomScaleNormal="100" zoomScaleSheetLayoutView="100" workbookViewId="0">
      <selection activeCell="B5" sqref="B5:P45"/>
    </sheetView>
  </sheetViews>
  <sheetFormatPr defaultRowHeight="13.5" x14ac:dyDescent="0.15"/>
  <cols>
    <col min="1" max="23" width="4.625" customWidth="1"/>
  </cols>
  <sheetData>
    <row r="1" spans="1:21" s="54" customFormat="1" ht="27" customHeight="1" x14ac:dyDescent="0.15">
      <c r="A1" s="840" t="s">
        <v>1355</v>
      </c>
      <c r="B1" s="840"/>
      <c r="C1" s="840"/>
      <c r="D1" s="840"/>
      <c r="E1" s="840"/>
      <c r="F1" s="840"/>
      <c r="G1" s="840"/>
      <c r="H1" s="840"/>
      <c r="I1" s="840"/>
      <c r="J1" s="840"/>
      <c r="K1" s="840"/>
      <c r="L1" s="840"/>
      <c r="M1" s="840"/>
      <c r="N1" s="840"/>
      <c r="O1" s="55"/>
      <c r="P1" s="55"/>
      <c r="Q1" s="55"/>
      <c r="R1" s="55"/>
      <c r="S1" s="55"/>
    </row>
    <row r="2" spans="1:21" s="54" customFormat="1" ht="13.5" customHeight="1" x14ac:dyDescent="0.15">
      <c r="A2" s="71" t="s">
        <v>77</v>
      </c>
      <c r="B2" s="1712" t="s">
        <v>1334</v>
      </c>
      <c r="C2" s="1712"/>
      <c r="D2" s="1712"/>
      <c r="E2" s="1712"/>
      <c r="F2" s="1712"/>
      <c r="G2" s="1712"/>
      <c r="H2" s="1712"/>
      <c r="I2" s="1712"/>
      <c r="J2" s="1712"/>
      <c r="K2" s="1712"/>
      <c r="L2" s="1712"/>
      <c r="M2" s="1712"/>
      <c r="N2" s="1712"/>
      <c r="O2" s="1712"/>
      <c r="P2" s="1712"/>
      <c r="Q2" s="1712"/>
      <c r="R2" s="1712"/>
      <c r="S2" s="1712"/>
      <c r="T2" s="1712"/>
      <c r="U2" s="1712"/>
    </row>
    <row r="3" spans="1:21" s="54" customFormat="1" ht="13.5" customHeight="1" x14ac:dyDescent="0.15">
      <c r="A3" s="71"/>
      <c r="B3" s="55" t="s">
        <v>1322</v>
      </c>
      <c r="C3" s="55"/>
      <c r="D3" s="55"/>
      <c r="E3" s="55"/>
      <c r="F3" s="55"/>
      <c r="G3" s="55"/>
      <c r="H3" s="55"/>
      <c r="I3" s="55"/>
      <c r="J3" s="55"/>
      <c r="K3" s="55"/>
      <c r="L3" s="55"/>
      <c r="M3" s="55"/>
      <c r="N3" s="55"/>
      <c r="O3" s="55"/>
      <c r="P3" s="55"/>
      <c r="Q3" s="55"/>
      <c r="R3" s="55"/>
      <c r="S3" s="55"/>
      <c r="T3" s="55"/>
      <c r="U3" s="55"/>
    </row>
    <row r="4" spans="1:21" s="54" customFormat="1" ht="13.5" customHeight="1" x14ac:dyDescent="0.15">
      <c r="A4" s="71"/>
      <c r="B4" s="55"/>
      <c r="C4" s="55"/>
      <c r="D4" s="55"/>
      <c r="E4" s="55"/>
      <c r="F4" s="55"/>
      <c r="G4" s="55"/>
      <c r="H4" s="55"/>
      <c r="I4" s="55"/>
      <c r="J4" s="55"/>
      <c r="K4" s="55"/>
      <c r="L4" s="55"/>
      <c r="M4" s="55"/>
      <c r="N4" s="55"/>
      <c r="O4" s="55"/>
      <c r="P4" s="55"/>
      <c r="Q4" s="55"/>
      <c r="R4" s="55"/>
      <c r="S4" s="55"/>
      <c r="T4" s="55"/>
      <c r="U4" s="55"/>
    </row>
    <row r="5" spans="1:21" s="54" customFormat="1" x14ac:dyDescent="0.15">
      <c r="B5" s="731" t="s">
        <v>14</v>
      </c>
      <c r="C5" s="731"/>
      <c r="D5" s="731"/>
      <c r="E5" s="731"/>
      <c r="F5" s="731"/>
      <c r="G5" s="731"/>
      <c r="H5" s="731"/>
      <c r="I5" s="731" t="s">
        <v>92</v>
      </c>
      <c r="J5" s="731"/>
      <c r="K5" s="731"/>
      <c r="L5" s="731"/>
      <c r="M5" s="731"/>
      <c r="N5" s="731"/>
      <c r="O5" s="731"/>
      <c r="P5" s="728"/>
      <c r="Q5" s="844" t="s">
        <v>91</v>
      </c>
      <c r="R5" s="729"/>
      <c r="S5" s="785"/>
    </row>
    <row r="6" spans="1:21" s="54" customFormat="1" ht="27.75" customHeight="1" x14ac:dyDescent="0.15">
      <c r="B6" s="731"/>
      <c r="C6" s="731"/>
      <c r="D6" s="731"/>
      <c r="E6" s="731"/>
      <c r="F6" s="731"/>
      <c r="G6" s="731"/>
      <c r="H6" s="731"/>
      <c r="I6" s="731"/>
      <c r="J6" s="731"/>
      <c r="K6" s="731"/>
      <c r="L6" s="731"/>
      <c r="M6" s="731"/>
      <c r="N6" s="731"/>
      <c r="O6" s="731"/>
      <c r="P6" s="728"/>
      <c r="Q6" s="1715" t="s">
        <v>1323</v>
      </c>
      <c r="R6" s="1716"/>
      <c r="S6" s="1717"/>
    </row>
    <row r="7" spans="1:21" s="54" customFormat="1" ht="21.95" customHeight="1" x14ac:dyDescent="0.15">
      <c r="B7" s="1167" t="s">
        <v>90</v>
      </c>
      <c r="C7" s="1168"/>
      <c r="D7" s="1168"/>
      <c r="E7" s="1168"/>
      <c r="F7" s="1168"/>
      <c r="G7" s="1168"/>
      <c r="H7" s="1169"/>
      <c r="I7" s="1331" t="s">
        <v>1360</v>
      </c>
      <c r="J7" s="1332"/>
      <c r="K7" s="1332"/>
      <c r="L7" s="1332"/>
      <c r="M7" s="1332"/>
      <c r="N7" s="1332"/>
      <c r="O7" s="1332"/>
      <c r="P7" s="1332"/>
      <c r="Q7" s="1514"/>
      <c r="R7" s="1514"/>
      <c r="S7" s="1515"/>
    </row>
    <row r="8" spans="1:21" s="54" customFormat="1" ht="21.95" customHeight="1" x14ac:dyDescent="0.15">
      <c r="B8" s="760" t="s">
        <v>15</v>
      </c>
      <c r="C8" s="761"/>
      <c r="D8" s="761"/>
      <c r="E8" s="761"/>
      <c r="F8" s="761"/>
      <c r="G8" s="761"/>
      <c r="H8" s="762"/>
      <c r="I8" s="713" t="s">
        <v>165</v>
      </c>
      <c r="J8" s="713"/>
      <c r="K8" s="713"/>
      <c r="L8" s="713"/>
      <c r="M8" s="713"/>
      <c r="N8" s="713"/>
      <c r="O8" s="713"/>
      <c r="P8" s="766"/>
      <c r="Q8" s="752"/>
      <c r="R8" s="752"/>
      <c r="S8" s="753"/>
    </row>
    <row r="9" spans="1:21" s="54" customFormat="1" ht="21.95" customHeight="1" x14ac:dyDescent="0.15">
      <c r="B9" s="760" t="s">
        <v>16</v>
      </c>
      <c r="C9" s="761"/>
      <c r="D9" s="761"/>
      <c r="E9" s="761"/>
      <c r="F9" s="761"/>
      <c r="G9" s="761"/>
      <c r="H9" s="762"/>
      <c r="I9" s="1198" t="s">
        <v>113</v>
      </c>
      <c r="J9" s="1199"/>
      <c r="K9" s="1199"/>
      <c r="L9" s="1199"/>
      <c r="M9" s="1199"/>
      <c r="N9" s="1199"/>
      <c r="O9" s="1199"/>
      <c r="P9" s="1199"/>
      <c r="Q9" s="752"/>
      <c r="R9" s="752"/>
      <c r="S9" s="753"/>
    </row>
    <row r="10" spans="1:21" s="54" customFormat="1" ht="21.95" customHeight="1" x14ac:dyDescent="0.15">
      <c r="B10" s="760" t="s">
        <v>17</v>
      </c>
      <c r="C10" s="761"/>
      <c r="D10" s="761"/>
      <c r="E10" s="761"/>
      <c r="F10" s="761"/>
      <c r="G10" s="761"/>
      <c r="H10" s="762"/>
      <c r="I10" s="713" t="s">
        <v>51</v>
      </c>
      <c r="J10" s="713"/>
      <c r="K10" s="713"/>
      <c r="L10" s="713"/>
      <c r="M10" s="713"/>
      <c r="N10" s="713"/>
      <c r="O10" s="713"/>
      <c r="P10" s="766"/>
      <c r="Q10" s="752"/>
      <c r="R10" s="752"/>
      <c r="S10" s="753"/>
    </row>
    <row r="11" spans="1:21" s="54" customFormat="1" ht="21.95" customHeight="1" x14ac:dyDescent="0.15">
      <c r="B11" s="760" t="s">
        <v>18</v>
      </c>
      <c r="C11" s="761"/>
      <c r="D11" s="761"/>
      <c r="E11" s="761"/>
      <c r="F11" s="761"/>
      <c r="G11" s="761"/>
      <c r="H11" s="762"/>
      <c r="I11" s="713" t="s">
        <v>52</v>
      </c>
      <c r="J11" s="713"/>
      <c r="K11" s="713"/>
      <c r="L11" s="713"/>
      <c r="M11" s="713"/>
      <c r="N11" s="713"/>
      <c r="O11" s="713"/>
      <c r="P11" s="766"/>
      <c r="Q11" s="752"/>
      <c r="R11" s="752"/>
      <c r="S11" s="753"/>
    </row>
    <row r="12" spans="1:21" s="54" customFormat="1" ht="21.95" customHeight="1" x14ac:dyDescent="0.15">
      <c r="B12" s="760" t="s">
        <v>19</v>
      </c>
      <c r="C12" s="761"/>
      <c r="D12" s="761"/>
      <c r="E12" s="761"/>
      <c r="F12" s="761"/>
      <c r="G12" s="761"/>
      <c r="H12" s="762"/>
      <c r="I12" s="713" t="s">
        <v>51</v>
      </c>
      <c r="J12" s="713"/>
      <c r="K12" s="713"/>
      <c r="L12" s="713"/>
      <c r="M12" s="713"/>
      <c r="N12" s="713"/>
      <c r="O12" s="713"/>
      <c r="P12" s="766"/>
      <c r="Q12" s="752"/>
      <c r="R12" s="752"/>
      <c r="S12" s="753"/>
    </row>
    <row r="13" spans="1:21" s="54" customFormat="1" ht="21.95" customHeight="1" x14ac:dyDescent="0.15">
      <c r="B13" s="760" t="s">
        <v>20</v>
      </c>
      <c r="C13" s="761"/>
      <c r="D13" s="761"/>
      <c r="E13" s="761"/>
      <c r="F13" s="761"/>
      <c r="G13" s="761"/>
      <c r="H13" s="762"/>
      <c r="I13" s="713" t="s">
        <v>52</v>
      </c>
      <c r="J13" s="713"/>
      <c r="K13" s="713"/>
      <c r="L13" s="713"/>
      <c r="M13" s="713"/>
      <c r="N13" s="713"/>
      <c r="O13" s="713"/>
      <c r="P13" s="766"/>
      <c r="Q13" s="752"/>
      <c r="R13" s="752"/>
      <c r="S13" s="753"/>
    </row>
    <row r="14" spans="1:21" s="54" customFormat="1" ht="21.95" customHeight="1" x14ac:dyDescent="0.15">
      <c r="B14" s="760" t="s">
        <v>1324</v>
      </c>
      <c r="C14" s="761"/>
      <c r="D14" s="761"/>
      <c r="E14" s="761"/>
      <c r="F14" s="761"/>
      <c r="G14" s="761"/>
      <c r="H14" s="762"/>
      <c r="I14" s="713" t="s">
        <v>1326</v>
      </c>
      <c r="J14" s="713"/>
      <c r="K14" s="713"/>
      <c r="L14" s="713"/>
      <c r="M14" s="713"/>
      <c r="N14" s="713"/>
      <c r="O14" s="713"/>
      <c r="P14" s="766"/>
      <c r="Q14" s="752"/>
      <c r="R14" s="752"/>
      <c r="S14" s="753"/>
    </row>
    <row r="15" spans="1:21" s="54" customFormat="1" ht="21.95" customHeight="1" x14ac:dyDescent="0.15">
      <c r="B15" s="760" t="s">
        <v>1325</v>
      </c>
      <c r="C15" s="761"/>
      <c r="D15" s="761"/>
      <c r="E15" s="761"/>
      <c r="F15" s="761"/>
      <c r="G15" s="761"/>
      <c r="H15" s="762"/>
      <c r="I15" s="713" t="s">
        <v>1327</v>
      </c>
      <c r="J15" s="713"/>
      <c r="K15" s="713"/>
      <c r="L15" s="713"/>
      <c r="M15" s="713"/>
      <c r="N15" s="713"/>
      <c r="O15" s="713"/>
      <c r="P15" s="766"/>
      <c r="Q15" s="752"/>
      <c r="R15" s="752"/>
      <c r="S15" s="753"/>
    </row>
    <row r="16" spans="1:21" s="54" customFormat="1" ht="21.95" customHeight="1" x14ac:dyDescent="0.15">
      <c r="B16" s="760" t="s">
        <v>1328</v>
      </c>
      <c r="C16" s="761"/>
      <c r="D16" s="761"/>
      <c r="E16" s="761"/>
      <c r="F16" s="761"/>
      <c r="G16" s="761"/>
      <c r="H16" s="762"/>
      <c r="I16" s="713" t="s">
        <v>165</v>
      </c>
      <c r="J16" s="713"/>
      <c r="K16" s="713"/>
      <c r="L16" s="713"/>
      <c r="M16" s="713"/>
      <c r="N16" s="713"/>
      <c r="O16" s="713"/>
      <c r="P16" s="766"/>
      <c r="Q16" s="752"/>
      <c r="R16" s="752"/>
      <c r="S16" s="753"/>
    </row>
    <row r="17" spans="2:20" s="54" customFormat="1" ht="21.95" customHeight="1" x14ac:dyDescent="0.15">
      <c r="B17" s="760" t="s">
        <v>1329</v>
      </c>
      <c r="C17" s="761"/>
      <c r="D17" s="761"/>
      <c r="E17" s="761"/>
      <c r="F17" s="761"/>
      <c r="G17" s="761"/>
      <c r="H17" s="762"/>
      <c r="I17" s="713" t="s">
        <v>165</v>
      </c>
      <c r="J17" s="713"/>
      <c r="K17" s="713"/>
      <c r="L17" s="713"/>
      <c r="M17" s="713"/>
      <c r="N17" s="713"/>
      <c r="O17" s="713"/>
      <c r="P17" s="766"/>
      <c r="Q17" s="752"/>
      <c r="R17" s="752"/>
      <c r="S17" s="753"/>
    </row>
    <row r="18" spans="2:20" s="54" customFormat="1" ht="21.95" customHeight="1" x14ac:dyDescent="0.15">
      <c r="B18" s="760" t="s">
        <v>21</v>
      </c>
      <c r="C18" s="761"/>
      <c r="D18" s="761"/>
      <c r="E18" s="761"/>
      <c r="F18" s="761"/>
      <c r="G18" s="761"/>
      <c r="H18" s="762"/>
      <c r="I18" s="713" t="s">
        <v>165</v>
      </c>
      <c r="J18" s="713"/>
      <c r="K18" s="713"/>
      <c r="L18" s="713"/>
      <c r="M18" s="713"/>
      <c r="N18" s="713"/>
      <c r="O18" s="713"/>
      <c r="P18" s="766"/>
      <c r="Q18" s="752"/>
      <c r="R18" s="752"/>
      <c r="S18" s="753"/>
    </row>
    <row r="19" spans="2:20" s="54" customFormat="1" ht="21.95" customHeight="1" x14ac:dyDescent="0.15">
      <c r="B19" s="760" t="s">
        <v>22</v>
      </c>
      <c r="C19" s="761"/>
      <c r="D19" s="761"/>
      <c r="E19" s="761"/>
      <c r="F19" s="761"/>
      <c r="G19" s="761"/>
      <c r="H19" s="762"/>
      <c r="I19" s="1193" t="s">
        <v>53</v>
      </c>
      <c r="J19" s="1193"/>
      <c r="K19" s="1193"/>
      <c r="L19" s="1193"/>
      <c r="M19" s="1193"/>
      <c r="N19" s="1193"/>
      <c r="O19" s="1193"/>
      <c r="P19" s="1194"/>
      <c r="Q19" s="752"/>
      <c r="R19" s="752"/>
      <c r="S19" s="753"/>
    </row>
    <row r="20" spans="2:20" s="54" customFormat="1" ht="21.95" customHeight="1" x14ac:dyDescent="0.15">
      <c r="B20" s="760" t="s">
        <v>23</v>
      </c>
      <c r="C20" s="761"/>
      <c r="D20" s="761"/>
      <c r="E20" s="761"/>
      <c r="F20" s="761"/>
      <c r="G20" s="761"/>
      <c r="H20" s="762"/>
      <c r="I20" s="1193" t="s">
        <v>165</v>
      </c>
      <c r="J20" s="1193"/>
      <c r="K20" s="1193"/>
      <c r="L20" s="1193"/>
      <c r="M20" s="1193"/>
      <c r="N20" s="1193"/>
      <c r="O20" s="1193"/>
      <c r="P20" s="1194"/>
      <c r="Q20" s="752"/>
      <c r="R20" s="752"/>
      <c r="S20" s="753"/>
    </row>
    <row r="21" spans="2:20" s="54" customFormat="1" ht="21.95" customHeight="1" x14ac:dyDescent="0.15">
      <c r="B21" s="760" t="s">
        <v>24</v>
      </c>
      <c r="C21" s="761"/>
      <c r="D21" s="761"/>
      <c r="E21" s="761"/>
      <c r="F21" s="761"/>
      <c r="G21" s="761"/>
      <c r="H21" s="762"/>
      <c r="I21" s="1193" t="s">
        <v>165</v>
      </c>
      <c r="J21" s="1193"/>
      <c r="K21" s="1193"/>
      <c r="L21" s="1193"/>
      <c r="M21" s="1193"/>
      <c r="N21" s="1193"/>
      <c r="O21" s="1193"/>
      <c r="P21" s="1194"/>
      <c r="Q21" s="752"/>
      <c r="R21" s="752"/>
      <c r="S21" s="753"/>
    </row>
    <row r="22" spans="2:20" s="54" customFormat="1" ht="21.95" customHeight="1" x14ac:dyDescent="0.15">
      <c r="B22" s="760" t="s">
        <v>1330</v>
      </c>
      <c r="C22" s="761"/>
      <c r="D22" s="761"/>
      <c r="E22" s="761"/>
      <c r="F22" s="761"/>
      <c r="G22" s="761"/>
      <c r="H22" s="762"/>
      <c r="I22" s="713" t="s">
        <v>165</v>
      </c>
      <c r="J22" s="713"/>
      <c r="K22" s="713"/>
      <c r="L22" s="713"/>
      <c r="M22" s="713"/>
      <c r="N22" s="713"/>
      <c r="O22" s="713"/>
      <c r="P22" s="766"/>
      <c r="Q22" s="752"/>
      <c r="R22" s="752"/>
      <c r="S22" s="753"/>
    </row>
    <row r="23" spans="2:20" s="54" customFormat="1" ht="21.95" customHeight="1" x14ac:dyDescent="0.15">
      <c r="B23" s="760" t="s">
        <v>25</v>
      </c>
      <c r="C23" s="764"/>
      <c r="D23" s="764"/>
      <c r="E23" s="764"/>
      <c r="F23" s="764"/>
      <c r="G23" s="764"/>
      <c r="H23" s="765"/>
      <c r="I23" s="713" t="s">
        <v>165</v>
      </c>
      <c r="J23" s="713"/>
      <c r="K23" s="713"/>
      <c r="L23" s="713"/>
      <c r="M23" s="713"/>
      <c r="N23" s="713"/>
      <c r="O23" s="713"/>
      <c r="P23" s="766"/>
      <c r="Q23" s="1713"/>
      <c r="R23" s="1713"/>
      <c r="S23" s="1714"/>
      <c r="T23" s="241"/>
    </row>
    <row r="24" spans="2:20" s="54" customFormat="1" ht="21.95" customHeight="1" x14ac:dyDescent="0.15">
      <c r="B24" s="760" t="s">
        <v>1515</v>
      </c>
      <c r="C24" s="764"/>
      <c r="D24" s="764"/>
      <c r="E24" s="764"/>
      <c r="F24" s="764"/>
      <c r="G24" s="764"/>
      <c r="H24" s="765"/>
      <c r="I24" s="713" t="s">
        <v>165</v>
      </c>
      <c r="J24" s="713"/>
      <c r="K24" s="713"/>
      <c r="L24" s="713"/>
      <c r="M24" s="713"/>
      <c r="N24" s="713"/>
      <c r="O24" s="713"/>
      <c r="P24" s="766"/>
      <c r="Q24" s="1713"/>
      <c r="R24" s="1713"/>
      <c r="S24" s="1714"/>
      <c r="T24" s="241"/>
    </row>
    <row r="25" spans="2:20" s="54" customFormat="1" ht="21.95" customHeight="1" x14ac:dyDescent="0.15">
      <c r="B25" s="760" t="s">
        <v>1514</v>
      </c>
      <c r="C25" s="764"/>
      <c r="D25" s="764"/>
      <c r="E25" s="764"/>
      <c r="F25" s="764"/>
      <c r="G25" s="764"/>
      <c r="H25" s="765"/>
      <c r="I25" s="713" t="s">
        <v>165</v>
      </c>
      <c r="J25" s="713"/>
      <c r="K25" s="713"/>
      <c r="L25" s="713"/>
      <c r="M25" s="713"/>
      <c r="N25" s="713"/>
      <c r="O25" s="713"/>
      <c r="P25" s="766"/>
      <c r="Q25" s="1713"/>
      <c r="R25" s="1713"/>
      <c r="S25" s="1714"/>
      <c r="T25" s="241"/>
    </row>
    <row r="26" spans="2:20" s="54" customFormat="1" ht="21.95" customHeight="1" x14ac:dyDescent="0.15">
      <c r="B26" s="760" t="s">
        <v>26</v>
      </c>
      <c r="C26" s="761"/>
      <c r="D26" s="761"/>
      <c r="E26" s="761"/>
      <c r="F26" s="761"/>
      <c r="G26" s="761"/>
      <c r="H26" s="762"/>
      <c r="I26" s="713" t="s">
        <v>165</v>
      </c>
      <c r="J26" s="713"/>
      <c r="K26" s="713"/>
      <c r="L26" s="713"/>
      <c r="M26" s="713"/>
      <c r="N26" s="713"/>
      <c r="O26" s="713"/>
      <c r="P26" s="766"/>
      <c r="Q26" s="752"/>
      <c r="R26" s="752"/>
      <c r="S26" s="753"/>
    </row>
    <row r="27" spans="2:20" s="54" customFormat="1" ht="21.95" customHeight="1" x14ac:dyDescent="0.15">
      <c r="B27" s="760" t="s">
        <v>27</v>
      </c>
      <c r="C27" s="761"/>
      <c r="D27" s="761"/>
      <c r="E27" s="761"/>
      <c r="F27" s="761"/>
      <c r="G27" s="761"/>
      <c r="H27" s="762"/>
      <c r="I27" s="713" t="s">
        <v>645</v>
      </c>
      <c r="J27" s="713"/>
      <c r="K27" s="713"/>
      <c r="L27" s="713"/>
      <c r="M27" s="713"/>
      <c r="N27" s="713"/>
      <c r="O27" s="713"/>
      <c r="P27" s="766"/>
      <c r="Q27" s="752"/>
      <c r="R27" s="752"/>
      <c r="S27" s="753"/>
    </row>
    <row r="28" spans="2:20" s="54" customFormat="1" ht="21.95" customHeight="1" x14ac:dyDescent="0.15">
      <c r="B28" s="760" t="s">
        <v>111</v>
      </c>
      <c r="C28" s="761"/>
      <c r="D28" s="761"/>
      <c r="E28" s="761"/>
      <c r="F28" s="761"/>
      <c r="G28" s="761"/>
      <c r="H28" s="762"/>
      <c r="I28" s="713" t="s">
        <v>165</v>
      </c>
      <c r="J28" s="713"/>
      <c r="K28" s="713"/>
      <c r="L28" s="713"/>
      <c r="M28" s="713"/>
      <c r="N28" s="713"/>
      <c r="O28" s="713"/>
      <c r="P28" s="766"/>
      <c r="Q28" s="752"/>
      <c r="R28" s="752"/>
      <c r="S28" s="753"/>
    </row>
    <row r="29" spans="2:20" s="54" customFormat="1" ht="21.95" customHeight="1" x14ac:dyDescent="0.15">
      <c r="B29" s="760" t="s">
        <v>112</v>
      </c>
      <c r="C29" s="761"/>
      <c r="D29" s="761"/>
      <c r="E29" s="761"/>
      <c r="F29" s="761"/>
      <c r="G29" s="761"/>
      <c r="H29" s="762"/>
      <c r="I29" s="713" t="s">
        <v>165</v>
      </c>
      <c r="J29" s="713"/>
      <c r="K29" s="713"/>
      <c r="L29" s="713"/>
      <c r="M29" s="713"/>
      <c r="N29" s="713"/>
      <c r="O29" s="713"/>
      <c r="P29" s="766"/>
      <c r="Q29" s="752"/>
      <c r="R29" s="752"/>
      <c r="S29" s="753"/>
    </row>
    <row r="30" spans="2:20" s="54" customFormat="1" ht="21.95" customHeight="1" x14ac:dyDescent="0.15">
      <c r="B30" s="760" t="s">
        <v>28</v>
      </c>
      <c r="C30" s="761"/>
      <c r="D30" s="761"/>
      <c r="E30" s="761"/>
      <c r="F30" s="761"/>
      <c r="G30" s="761"/>
      <c r="H30" s="762"/>
      <c r="I30" s="713" t="s">
        <v>165</v>
      </c>
      <c r="J30" s="713"/>
      <c r="K30" s="713"/>
      <c r="L30" s="713"/>
      <c r="M30" s="713"/>
      <c r="N30" s="713"/>
      <c r="O30" s="713"/>
      <c r="P30" s="766"/>
      <c r="Q30" s="752"/>
      <c r="R30" s="752"/>
      <c r="S30" s="753"/>
    </row>
    <row r="31" spans="2:20" s="54" customFormat="1" ht="21.95" customHeight="1" x14ac:dyDescent="0.15">
      <c r="B31" s="760" t="s">
        <v>29</v>
      </c>
      <c r="C31" s="761"/>
      <c r="D31" s="761"/>
      <c r="E31" s="761"/>
      <c r="F31" s="761"/>
      <c r="G31" s="761"/>
      <c r="H31" s="762"/>
      <c r="I31" s="713" t="s">
        <v>1331</v>
      </c>
      <c r="J31" s="713"/>
      <c r="K31" s="713"/>
      <c r="L31" s="713"/>
      <c r="M31" s="713"/>
      <c r="N31" s="713"/>
      <c r="O31" s="713"/>
      <c r="P31" s="766"/>
      <c r="Q31" s="752"/>
      <c r="R31" s="752"/>
      <c r="S31" s="753"/>
    </row>
    <row r="32" spans="2:20" s="54" customFormat="1" ht="21.95" customHeight="1" x14ac:dyDescent="0.15">
      <c r="B32" s="760" t="s">
        <v>30</v>
      </c>
      <c r="C32" s="761"/>
      <c r="D32" s="761"/>
      <c r="E32" s="761"/>
      <c r="F32" s="761"/>
      <c r="G32" s="761"/>
      <c r="H32" s="762"/>
      <c r="I32" s="713" t="s">
        <v>165</v>
      </c>
      <c r="J32" s="713"/>
      <c r="K32" s="713"/>
      <c r="L32" s="713"/>
      <c r="M32" s="713"/>
      <c r="N32" s="713"/>
      <c r="O32" s="713"/>
      <c r="P32" s="766"/>
      <c r="Q32" s="752"/>
      <c r="R32" s="752"/>
      <c r="S32" s="753"/>
    </row>
    <row r="33" spans="2:20" s="54" customFormat="1" ht="21.95" customHeight="1" x14ac:dyDescent="0.15">
      <c r="B33" s="760" t="s">
        <v>31</v>
      </c>
      <c r="C33" s="761"/>
      <c r="D33" s="761"/>
      <c r="E33" s="761"/>
      <c r="F33" s="761"/>
      <c r="G33" s="761"/>
      <c r="H33" s="762"/>
      <c r="I33" s="713" t="s">
        <v>165</v>
      </c>
      <c r="J33" s="713"/>
      <c r="K33" s="713"/>
      <c r="L33" s="713"/>
      <c r="M33" s="713"/>
      <c r="N33" s="713"/>
      <c r="O33" s="713"/>
      <c r="P33" s="766"/>
      <c r="Q33" s="752"/>
      <c r="R33" s="752"/>
      <c r="S33" s="753"/>
    </row>
    <row r="34" spans="2:20" s="54" customFormat="1" ht="21.95" customHeight="1" x14ac:dyDescent="0.15">
      <c r="B34" s="760" t="s">
        <v>1332</v>
      </c>
      <c r="C34" s="761"/>
      <c r="D34" s="761"/>
      <c r="E34" s="761"/>
      <c r="F34" s="761"/>
      <c r="G34" s="761"/>
      <c r="H34" s="762"/>
      <c r="I34" s="713" t="s">
        <v>165</v>
      </c>
      <c r="J34" s="713"/>
      <c r="K34" s="713"/>
      <c r="L34" s="713"/>
      <c r="M34" s="713"/>
      <c r="N34" s="713"/>
      <c r="O34" s="713"/>
      <c r="P34" s="766"/>
      <c r="Q34" s="752"/>
      <c r="R34" s="752"/>
      <c r="S34" s="753"/>
    </row>
    <row r="35" spans="2:20" s="54" customFormat="1" ht="21.95" customHeight="1" x14ac:dyDescent="0.15">
      <c r="B35" s="760" t="s">
        <v>32</v>
      </c>
      <c r="C35" s="761"/>
      <c r="D35" s="761"/>
      <c r="E35" s="761"/>
      <c r="F35" s="761"/>
      <c r="G35" s="761"/>
      <c r="H35" s="762"/>
      <c r="I35" s="713" t="s">
        <v>1331</v>
      </c>
      <c r="J35" s="713"/>
      <c r="K35" s="713"/>
      <c r="L35" s="713"/>
      <c r="M35" s="713"/>
      <c r="N35" s="713"/>
      <c r="O35" s="713"/>
      <c r="P35" s="766"/>
      <c r="Q35" s="752"/>
      <c r="R35" s="752"/>
      <c r="S35" s="753"/>
    </row>
    <row r="36" spans="2:20" s="54" customFormat="1" ht="21.95" customHeight="1" x14ac:dyDescent="0.15">
      <c r="B36" s="760" t="s">
        <v>33</v>
      </c>
      <c r="C36" s="761"/>
      <c r="D36" s="761"/>
      <c r="E36" s="761"/>
      <c r="F36" s="761"/>
      <c r="G36" s="761"/>
      <c r="H36" s="762"/>
      <c r="I36" s="713" t="s">
        <v>165</v>
      </c>
      <c r="J36" s="713"/>
      <c r="K36" s="713"/>
      <c r="L36" s="713"/>
      <c r="M36" s="713"/>
      <c r="N36" s="713"/>
      <c r="O36" s="713"/>
      <c r="P36" s="766"/>
      <c r="Q36" s="752"/>
      <c r="R36" s="752"/>
      <c r="S36" s="753"/>
    </row>
    <row r="37" spans="2:20" s="54" customFormat="1" ht="21.95" customHeight="1" x14ac:dyDescent="0.15">
      <c r="B37" s="760" t="s">
        <v>1333</v>
      </c>
      <c r="C37" s="761"/>
      <c r="D37" s="761"/>
      <c r="E37" s="761"/>
      <c r="F37" s="761"/>
      <c r="G37" s="761"/>
      <c r="H37" s="762"/>
      <c r="I37" s="713" t="s">
        <v>165</v>
      </c>
      <c r="J37" s="713"/>
      <c r="K37" s="713"/>
      <c r="L37" s="713"/>
      <c r="M37" s="713"/>
      <c r="N37" s="713"/>
      <c r="O37" s="713"/>
      <c r="P37" s="766"/>
      <c r="Q37" s="752"/>
      <c r="R37" s="752"/>
      <c r="S37" s="753"/>
    </row>
    <row r="38" spans="2:20" s="54" customFormat="1" ht="21.95" customHeight="1" x14ac:dyDescent="0.15">
      <c r="B38" s="760" t="s">
        <v>34</v>
      </c>
      <c r="C38" s="761"/>
      <c r="D38" s="761"/>
      <c r="E38" s="761"/>
      <c r="F38" s="761"/>
      <c r="G38" s="761"/>
      <c r="H38" s="762"/>
      <c r="I38" s="713" t="s">
        <v>165</v>
      </c>
      <c r="J38" s="713"/>
      <c r="K38" s="713"/>
      <c r="L38" s="713"/>
      <c r="M38" s="713"/>
      <c r="N38" s="713"/>
      <c r="O38" s="713"/>
      <c r="P38" s="766"/>
      <c r="Q38" s="752"/>
      <c r="R38" s="752"/>
      <c r="S38" s="753"/>
    </row>
    <row r="39" spans="2:20" s="54" customFormat="1" ht="21.95" customHeight="1" x14ac:dyDescent="0.15">
      <c r="B39" s="760" t="s">
        <v>35</v>
      </c>
      <c r="C39" s="761"/>
      <c r="D39" s="761"/>
      <c r="E39" s="761"/>
      <c r="F39" s="761"/>
      <c r="G39" s="761"/>
      <c r="H39" s="762"/>
      <c r="I39" s="713" t="s">
        <v>165</v>
      </c>
      <c r="J39" s="713"/>
      <c r="K39" s="713"/>
      <c r="L39" s="713"/>
      <c r="M39" s="713"/>
      <c r="N39" s="713"/>
      <c r="O39" s="713"/>
      <c r="P39" s="766"/>
      <c r="Q39" s="752"/>
      <c r="R39" s="752"/>
      <c r="S39" s="753"/>
    </row>
    <row r="40" spans="2:20" s="54" customFormat="1" ht="21.95" customHeight="1" x14ac:dyDescent="0.15">
      <c r="B40" s="760" t="s">
        <v>36</v>
      </c>
      <c r="C40" s="761"/>
      <c r="D40" s="761"/>
      <c r="E40" s="761"/>
      <c r="F40" s="761"/>
      <c r="G40" s="761"/>
      <c r="H40" s="762"/>
      <c r="I40" s="713" t="s">
        <v>166</v>
      </c>
      <c r="J40" s="713"/>
      <c r="K40" s="713"/>
      <c r="L40" s="713"/>
      <c r="M40" s="713"/>
      <c r="N40" s="713"/>
      <c r="O40" s="713"/>
      <c r="P40" s="766"/>
      <c r="Q40" s="752"/>
      <c r="R40" s="752"/>
      <c r="S40" s="753"/>
    </row>
    <row r="41" spans="2:20" s="54" customFormat="1" ht="21.95" customHeight="1" x14ac:dyDescent="0.15">
      <c r="B41" s="760" t="s">
        <v>37</v>
      </c>
      <c r="C41" s="761"/>
      <c r="D41" s="761"/>
      <c r="E41" s="761"/>
      <c r="F41" s="761"/>
      <c r="G41" s="761"/>
      <c r="H41" s="762"/>
      <c r="I41" s="1193" t="s">
        <v>165</v>
      </c>
      <c r="J41" s="1193"/>
      <c r="K41" s="1193"/>
      <c r="L41" s="1193"/>
      <c r="M41" s="1193"/>
      <c r="N41" s="1193"/>
      <c r="O41" s="1193"/>
      <c r="P41" s="1194"/>
      <c r="Q41" s="752"/>
      <c r="R41" s="752"/>
      <c r="S41" s="753"/>
    </row>
    <row r="42" spans="2:20" s="54" customFormat="1" ht="21.95" customHeight="1" x14ac:dyDescent="0.15">
      <c r="B42" s="760" t="s">
        <v>38</v>
      </c>
      <c r="C42" s="761"/>
      <c r="D42" s="761"/>
      <c r="E42" s="761"/>
      <c r="F42" s="761"/>
      <c r="G42" s="761"/>
      <c r="H42" s="762"/>
      <c r="I42" s="1193" t="s">
        <v>165</v>
      </c>
      <c r="J42" s="1193"/>
      <c r="K42" s="1193"/>
      <c r="L42" s="1193"/>
      <c r="M42" s="1193"/>
      <c r="N42" s="1193"/>
      <c r="O42" s="1193"/>
      <c r="P42" s="1194"/>
      <c r="Q42" s="752"/>
      <c r="R42" s="752"/>
      <c r="S42" s="753"/>
    </row>
    <row r="43" spans="2:20" s="54" customFormat="1" ht="21.95" customHeight="1" x14ac:dyDescent="0.15">
      <c r="B43" s="760" t="s">
        <v>39</v>
      </c>
      <c r="C43" s="761"/>
      <c r="D43" s="761"/>
      <c r="E43" s="761"/>
      <c r="F43" s="761"/>
      <c r="G43" s="761"/>
      <c r="H43" s="762"/>
      <c r="I43" s="1193" t="s">
        <v>165</v>
      </c>
      <c r="J43" s="1193"/>
      <c r="K43" s="1193"/>
      <c r="L43" s="1193"/>
      <c r="M43" s="1193"/>
      <c r="N43" s="1193"/>
      <c r="O43" s="1193"/>
      <c r="P43" s="1194"/>
      <c r="Q43" s="752"/>
      <c r="R43" s="752"/>
      <c r="S43" s="753"/>
    </row>
    <row r="44" spans="2:20" s="54" customFormat="1" ht="21.95" customHeight="1" x14ac:dyDescent="0.15">
      <c r="B44" s="760" t="s">
        <v>40</v>
      </c>
      <c r="C44" s="761"/>
      <c r="D44" s="761"/>
      <c r="E44" s="761"/>
      <c r="F44" s="761"/>
      <c r="G44" s="761"/>
      <c r="H44" s="762"/>
      <c r="I44" s="1193" t="s">
        <v>165</v>
      </c>
      <c r="J44" s="1193"/>
      <c r="K44" s="1193"/>
      <c r="L44" s="1193"/>
      <c r="M44" s="1193"/>
      <c r="N44" s="1193"/>
      <c r="O44" s="1193"/>
      <c r="P44" s="1194"/>
      <c r="Q44" s="752"/>
      <c r="R44" s="752"/>
      <c r="S44" s="753"/>
    </row>
    <row r="45" spans="2:20" s="54" customFormat="1" ht="21.95" customHeight="1" x14ac:dyDescent="0.15">
      <c r="B45" s="1693" t="s">
        <v>41</v>
      </c>
      <c r="C45" s="1694"/>
      <c r="D45" s="1694"/>
      <c r="E45" s="1694"/>
      <c r="F45" s="1694"/>
      <c r="G45" s="1694"/>
      <c r="H45" s="1695"/>
      <c r="I45" s="1150" t="s">
        <v>165</v>
      </c>
      <c r="J45" s="1150"/>
      <c r="K45" s="1150"/>
      <c r="L45" s="1150"/>
      <c r="M45" s="1150"/>
      <c r="N45" s="1150"/>
      <c r="O45" s="1150"/>
      <c r="P45" s="1696"/>
      <c r="Q45" s="793"/>
      <c r="R45" s="793"/>
      <c r="S45" s="794"/>
    </row>
    <row r="46" spans="2:20" s="54" customFormat="1" x14ac:dyDescent="0.15">
      <c r="B46" s="55"/>
      <c r="C46" s="55"/>
      <c r="D46" s="55"/>
      <c r="E46" s="55"/>
      <c r="F46" s="55"/>
      <c r="G46" s="55"/>
      <c r="H46" s="55"/>
      <c r="I46" s="55"/>
      <c r="J46" s="55"/>
      <c r="K46" s="55"/>
      <c r="L46" s="55"/>
      <c r="M46" s="55"/>
      <c r="N46" s="55"/>
      <c r="O46" s="55"/>
      <c r="P46" s="55"/>
      <c r="Q46" s="55"/>
      <c r="R46" s="55"/>
      <c r="S46" s="55"/>
      <c r="T46" s="55"/>
    </row>
    <row r="72" spans="2:5" ht="14.25" thickBot="1" x14ac:dyDescent="0.2"/>
    <row r="73" spans="2:5" ht="14.25" thickTop="1" x14ac:dyDescent="0.15">
      <c r="B73" s="243"/>
      <c r="C73" s="244"/>
      <c r="D73" s="244"/>
      <c r="E73" s="245"/>
    </row>
    <row r="74" spans="2:5" ht="14.25" thickBot="1" x14ac:dyDescent="0.2">
      <c r="B74" s="246"/>
      <c r="C74" s="247"/>
      <c r="D74" s="247"/>
      <c r="E74" s="248"/>
    </row>
    <row r="75" spans="2:5" ht="14.25" thickTop="1" x14ac:dyDescent="0.15"/>
    <row r="77" spans="2:5" x14ac:dyDescent="0.15">
      <c r="B77" s="196"/>
    </row>
    <row r="98" spans="5:10" x14ac:dyDescent="0.15">
      <c r="E98" s="249"/>
      <c r="F98" s="250"/>
      <c r="G98" s="250"/>
      <c r="H98" s="250"/>
      <c r="I98" s="250"/>
      <c r="J98" s="250"/>
    </row>
    <row r="131" spans="1:22" x14ac:dyDescent="0.15">
      <c r="A131" s="216"/>
      <c r="B131" s="216"/>
      <c r="C131" s="216"/>
      <c r="D131" s="216"/>
      <c r="E131" s="216"/>
      <c r="F131" s="216"/>
      <c r="G131" s="216"/>
      <c r="H131" s="216"/>
      <c r="I131" s="216"/>
      <c r="J131" s="216"/>
      <c r="K131" s="216"/>
      <c r="L131" s="216"/>
      <c r="M131" s="216"/>
      <c r="N131" s="216"/>
      <c r="O131" s="216"/>
      <c r="P131" s="216"/>
      <c r="Q131" s="216"/>
      <c r="R131" s="216"/>
      <c r="S131" s="216"/>
      <c r="T131" s="216"/>
      <c r="U131" s="216"/>
      <c r="V131" s="216"/>
    </row>
    <row r="132" spans="1:22" x14ac:dyDescent="0.15">
      <c r="A132" s="216"/>
      <c r="B132" s="216"/>
      <c r="C132" s="216"/>
      <c r="D132" s="216"/>
      <c r="E132" s="216"/>
      <c r="F132" s="216"/>
      <c r="G132" s="216"/>
      <c r="H132" s="216"/>
      <c r="I132" s="216"/>
      <c r="J132" s="216"/>
      <c r="K132" s="216"/>
      <c r="L132" s="216"/>
      <c r="M132" s="216"/>
      <c r="N132" s="216"/>
      <c r="O132" s="216"/>
      <c r="P132" s="216"/>
      <c r="Q132" s="216"/>
      <c r="R132" s="216"/>
      <c r="S132" s="216"/>
      <c r="T132" s="216"/>
      <c r="U132" s="216"/>
      <c r="V132" s="216"/>
    </row>
    <row r="133" spans="1:22" x14ac:dyDescent="0.15">
      <c r="A133" s="216"/>
      <c r="B133" s="216"/>
      <c r="C133" s="216"/>
      <c r="D133" s="216"/>
      <c r="E133" s="216"/>
      <c r="F133" s="216"/>
      <c r="G133" s="216"/>
      <c r="H133" s="216"/>
      <c r="I133" s="216"/>
      <c r="J133" s="216"/>
      <c r="K133" s="216"/>
      <c r="L133" s="216"/>
      <c r="M133" s="216"/>
      <c r="N133" s="216"/>
      <c r="O133" s="216"/>
      <c r="P133" s="216"/>
      <c r="Q133" s="216"/>
      <c r="R133" s="216"/>
      <c r="S133" s="216"/>
      <c r="T133" s="216"/>
      <c r="U133" s="216"/>
      <c r="V133" s="216"/>
    </row>
    <row r="134" spans="1:22" x14ac:dyDescent="0.15">
      <c r="A134" s="216"/>
      <c r="B134" s="216"/>
      <c r="C134" s="216"/>
      <c r="D134" s="216"/>
      <c r="E134" s="216"/>
      <c r="F134" s="216"/>
      <c r="G134" s="216"/>
      <c r="H134" s="216"/>
      <c r="I134" s="216"/>
      <c r="J134" s="216"/>
      <c r="K134" s="216"/>
      <c r="L134" s="216"/>
      <c r="M134" s="216"/>
      <c r="N134" s="216"/>
      <c r="O134" s="216"/>
      <c r="P134" s="216"/>
      <c r="Q134" s="216"/>
      <c r="R134" s="216"/>
      <c r="S134" s="216"/>
      <c r="T134" s="216"/>
      <c r="U134" s="216"/>
      <c r="V134" s="216"/>
    </row>
    <row r="135" spans="1:22" x14ac:dyDescent="0.15">
      <c r="A135" s="216"/>
      <c r="B135" s="216"/>
      <c r="C135" s="216"/>
      <c r="D135" s="216"/>
      <c r="E135" s="216"/>
      <c r="F135" s="216"/>
      <c r="G135" s="216"/>
      <c r="H135" s="216"/>
      <c r="I135" s="216"/>
      <c r="J135" s="216"/>
      <c r="K135" s="216"/>
      <c r="L135" s="216"/>
      <c r="M135" s="216"/>
      <c r="N135" s="216"/>
      <c r="O135" s="216"/>
      <c r="P135" s="216"/>
      <c r="Q135" s="216"/>
      <c r="R135" s="216"/>
      <c r="S135" s="216"/>
      <c r="T135" s="216"/>
      <c r="U135" s="216"/>
      <c r="V135" s="216"/>
    </row>
    <row r="136" spans="1:22" x14ac:dyDescent="0.15">
      <c r="A136" s="216"/>
      <c r="B136" s="216"/>
      <c r="C136" s="216"/>
      <c r="D136" s="216"/>
      <c r="E136" s="216"/>
      <c r="F136" s="216"/>
      <c r="G136" s="216"/>
      <c r="H136" s="216"/>
      <c r="I136" s="216"/>
      <c r="J136" s="216"/>
      <c r="K136" s="216"/>
      <c r="L136" s="216"/>
      <c r="M136" s="216"/>
      <c r="N136" s="216"/>
      <c r="O136" s="216"/>
      <c r="P136" s="216"/>
      <c r="Q136" s="216"/>
      <c r="R136" s="216"/>
      <c r="S136" s="216"/>
      <c r="T136" s="216"/>
      <c r="U136" s="216"/>
      <c r="V136" s="216"/>
    </row>
    <row r="137" spans="1:22" x14ac:dyDescent="0.15">
      <c r="A137" s="216"/>
      <c r="B137" s="216"/>
      <c r="C137" s="216"/>
      <c r="D137" s="216"/>
      <c r="E137" s="216"/>
      <c r="F137" s="216"/>
      <c r="G137" s="216"/>
      <c r="H137" s="216"/>
      <c r="I137" s="216"/>
      <c r="J137" s="216"/>
      <c r="K137" s="216"/>
      <c r="L137" s="216"/>
      <c r="M137" s="216"/>
      <c r="N137" s="216"/>
      <c r="O137" s="216"/>
      <c r="P137" s="216"/>
      <c r="Q137" s="216"/>
      <c r="R137" s="216"/>
      <c r="S137" s="216"/>
      <c r="T137" s="216"/>
      <c r="U137" s="216"/>
      <c r="V137" s="216"/>
    </row>
    <row r="138" spans="1:22" x14ac:dyDescent="0.15">
      <c r="A138" s="216"/>
      <c r="B138" s="216"/>
      <c r="C138" s="216"/>
      <c r="D138" s="216"/>
      <c r="E138" s="216"/>
      <c r="F138" s="216"/>
      <c r="G138" s="216"/>
      <c r="H138" s="216"/>
      <c r="I138" s="216"/>
      <c r="J138" s="216"/>
      <c r="K138" s="216"/>
      <c r="L138" s="216"/>
      <c r="M138" s="216"/>
      <c r="N138" s="216"/>
      <c r="O138" s="216"/>
      <c r="P138" s="216"/>
      <c r="Q138" s="216"/>
      <c r="R138" s="216"/>
      <c r="S138" s="216"/>
      <c r="T138" s="216"/>
      <c r="U138" s="216"/>
      <c r="V138" s="216"/>
    </row>
    <row r="139" spans="1:22" x14ac:dyDescent="0.15">
      <c r="A139" s="216"/>
      <c r="B139" s="216"/>
      <c r="C139" s="216"/>
      <c r="D139" s="216"/>
      <c r="E139" s="216"/>
      <c r="F139" s="216"/>
      <c r="G139" s="216"/>
      <c r="H139" s="216"/>
      <c r="I139" s="216"/>
      <c r="J139" s="216"/>
      <c r="K139" s="216"/>
      <c r="L139" s="216"/>
      <c r="M139" s="216"/>
      <c r="N139" s="216"/>
      <c r="O139" s="216"/>
      <c r="P139" s="216"/>
      <c r="Q139" s="216"/>
      <c r="R139" s="216"/>
      <c r="S139" s="216"/>
      <c r="T139" s="216"/>
      <c r="U139" s="216"/>
      <c r="V139" s="216"/>
    </row>
    <row r="140" spans="1:22" x14ac:dyDescent="0.15">
      <c r="A140" s="216"/>
      <c r="B140" s="216"/>
      <c r="C140" s="216"/>
      <c r="D140" s="216"/>
      <c r="E140" s="216"/>
      <c r="F140" s="216"/>
      <c r="G140" s="216"/>
      <c r="H140" s="216"/>
      <c r="I140" s="216"/>
      <c r="J140" s="216"/>
      <c r="K140" s="216"/>
      <c r="L140" s="216"/>
      <c r="M140" s="216"/>
      <c r="N140" s="216"/>
      <c r="O140" s="216"/>
      <c r="P140" s="216"/>
      <c r="Q140" s="216"/>
      <c r="R140" s="216"/>
      <c r="S140" s="216"/>
      <c r="T140" s="216"/>
      <c r="U140" s="216"/>
      <c r="V140" s="216"/>
    </row>
    <row r="141" spans="1:22" x14ac:dyDescent="0.15">
      <c r="A141" s="216"/>
      <c r="B141" s="216"/>
      <c r="C141" s="216"/>
      <c r="D141" s="216"/>
      <c r="E141" s="216"/>
      <c r="F141" s="216"/>
      <c r="G141" s="216"/>
      <c r="H141" s="216"/>
      <c r="I141" s="216"/>
      <c r="J141" s="216"/>
      <c r="K141" s="216"/>
      <c r="L141" s="216"/>
      <c r="M141" s="216"/>
      <c r="N141" s="216"/>
      <c r="O141" s="216"/>
      <c r="P141" s="216"/>
      <c r="Q141" s="216"/>
      <c r="R141" s="216"/>
      <c r="S141" s="216"/>
      <c r="T141" s="216"/>
      <c r="U141" s="216"/>
      <c r="V141" s="216"/>
    </row>
    <row r="142" spans="1:22" x14ac:dyDescent="0.15">
      <c r="A142" s="216"/>
      <c r="B142" s="216"/>
      <c r="C142" s="216"/>
      <c r="D142" s="216"/>
      <c r="E142" s="216"/>
      <c r="F142" s="216"/>
      <c r="G142" s="216"/>
      <c r="H142" s="216"/>
      <c r="I142" s="216"/>
      <c r="J142" s="216"/>
      <c r="K142" s="216"/>
      <c r="L142" s="216"/>
      <c r="M142" s="216"/>
      <c r="N142" s="216"/>
      <c r="O142" s="216"/>
      <c r="P142" s="216"/>
      <c r="Q142" s="216"/>
      <c r="R142" s="216"/>
      <c r="S142" s="216"/>
      <c r="T142" s="216"/>
      <c r="U142" s="216"/>
      <c r="V142" s="216"/>
    </row>
    <row r="143" spans="1:22" x14ac:dyDescent="0.15">
      <c r="A143" s="216"/>
      <c r="B143" s="216"/>
      <c r="C143" s="216"/>
      <c r="D143" s="216"/>
      <c r="E143" s="216"/>
      <c r="F143" s="216"/>
      <c r="G143" s="216"/>
      <c r="H143" s="216"/>
      <c r="I143" s="216"/>
      <c r="J143" s="216"/>
      <c r="K143" s="216"/>
      <c r="L143" s="216"/>
      <c r="M143" s="216"/>
      <c r="N143" s="216"/>
      <c r="O143" s="216"/>
      <c r="P143" s="216"/>
      <c r="Q143" s="216"/>
      <c r="R143" s="216"/>
      <c r="S143" s="216"/>
      <c r="T143" s="216"/>
      <c r="U143" s="216"/>
      <c r="V143" s="216"/>
    </row>
    <row r="144" spans="1:22" x14ac:dyDescent="0.15">
      <c r="A144" s="216"/>
      <c r="B144" s="216"/>
      <c r="C144" s="216"/>
      <c r="D144" s="216"/>
      <c r="E144" s="216"/>
      <c r="F144" s="216"/>
      <c r="G144" s="216"/>
      <c r="H144" s="216"/>
      <c r="I144" s="216"/>
      <c r="J144" s="216"/>
      <c r="K144" s="216"/>
      <c r="L144" s="216"/>
      <c r="M144" s="216"/>
      <c r="N144" s="216"/>
      <c r="O144" s="216"/>
      <c r="P144" s="216"/>
      <c r="Q144" s="216"/>
      <c r="R144" s="216"/>
      <c r="S144" s="216"/>
      <c r="T144" s="216"/>
      <c r="U144" s="216"/>
      <c r="V144" s="216"/>
    </row>
    <row r="158" spans="1:22" x14ac:dyDescent="0.15">
      <c r="A158" s="205"/>
      <c r="B158" s="205"/>
      <c r="C158" s="205"/>
      <c r="D158" s="205"/>
      <c r="E158" s="205"/>
      <c r="F158" s="205"/>
      <c r="G158" s="205"/>
      <c r="H158" s="205"/>
      <c r="I158" s="205"/>
      <c r="J158" s="205"/>
      <c r="K158" s="205"/>
      <c r="L158" s="205"/>
      <c r="M158" s="205"/>
      <c r="N158" s="205"/>
      <c r="O158" s="205"/>
      <c r="P158" s="205"/>
      <c r="Q158" s="205"/>
      <c r="R158" s="205"/>
      <c r="S158" s="205"/>
      <c r="T158" s="205"/>
      <c r="U158" s="205"/>
      <c r="V158" s="205"/>
    </row>
    <row r="159" spans="1:22" x14ac:dyDescent="0.15">
      <c r="A159" s="205"/>
      <c r="B159" s="205"/>
      <c r="C159" s="205"/>
      <c r="D159" s="205"/>
      <c r="E159" s="205"/>
      <c r="F159" s="205"/>
      <c r="G159" s="205"/>
      <c r="H159" s="205"/>
      <c r="I159" s="205"/>
      <c r="J159" s="205"/>
      <c r="K159" s="205"/>
      <c r="L159" s="205"/>
      <c r="M159" s="205"/>
      <c r="N159" s="205"/>
      <c r="O159" s="205"/>
      <c r="P159" s="205"/>
      <c r="Q159" s="205"/>
      <c r="R159" s="205"/>
      <c r="S159" s="205"/>
      <c r="T159" s="205"/>
      <c r="U159" s="205"/>
      <c r="V159" s="205"/>
    </row>
    <row r="160" spans="1:22" x14ac:dyDescent="0.15">
      <c r="A160" s="205"/>
      <c r="B160" s="205"/>
      <c r="C160" s="205"/>
      <c r="D160" s="205"/>
      <c r="E160" s="205"/>
      <c r="F160" s="205"/>
      <c r="G160" s="205"/>
      <c r="H160" s="205"/>
      <c r="I160" s="205"/>
      <c r="J160" s="205"/>
      <c r="K160" s="205"/>
      <c r="L160" s="205"/>
      <c r="M160" s="205"/>
      <c r="N160" s="205"/>
      <c r="O160" s="205"/>
      <c r="P160" s="205"/>
      <c r="Q160" s="205"/>
      <c r="R160" s="205"/>
      <c r="S160" s="205"/>
      <c r="T160" s="205"/>
      <c r="U160" s="205"/>
      <c r="V160" s="205"/>
    </row>
    <row r="161" spans="1:22" x14ac:dyDescent="0.15">
      <c r="A161" s="205"/>
      <c r="B161" s="205"/>
      <c r="C161" s="205"/>
      <c r="D161" s="205"/>
      <c r="E161" s="205"/>
      <c r="F161" s="205"/>
      <c r="G161" s="205"/>
      <c r="H161" s="205"/>
      <c r="I161" s="205"/>
      <c r="J161" s="205"/>
      <c r="K161" s="205"/>
      <c r="L161" s="205"/>
      <c r="M161" s="205"/>
      <c r="N161" s="205"/>
      <c r="O161" s="205"/>
      <c r="P161" s="205"/>
      <c r="Q161" s="205"/>
      <c r="R161" s="205"/>
      <c r="S161" s="205"/>
      <c r="T161" s="205"/>
      <c r="U161" s="205"/>
      <c r="V161" s="205"/>
    </row>
    <row r="162" spans="1:22" x14ac:dyDescent="0.15">
      <c r="A162" s="205"/>
      <c r="B162" s="205"/>
      <c r="C162" s="205"/>
      <c r="D162" s="205"/>
      <c r="E162" s="205"/>
      <c r="F162" s="205"/>
      <c r="G162" s="205"/>
      <c r="H162" s="205"/>
      <c r="I162" s="205"/>
      <c r="J162" s="205"/>
      <c r="K162" s="205"/>
      <c r="L162" s="205"/>
      <c r="M162" s="205"/>
      <c r="N162" s="205"/>
      <c r="O162" s="205"/>
      <c r="P162" s="205"/>
      <c r="Q162" s="205"/>
      <c r="R162" s="205"/>
      <c r="S162" s="205"/>
      <c r="T162" s="205"/>
      <c r="U162" s="205"/>
      <c r="V162" s="205"/>
    </row>
    <row r="163" spans="1:22" x14ac:dyDescent="0.15">
      <c r="A163" s="205"/>
      <c r="B163" s="205"/>
      <c r="C163" s="205"/>
      <c r="D163" s="205"/>
      <c r="E163" s="205"/>
      <c r="F163" s="205"/>
      <c r="G163" s="205"/>
      <c r="H163" s="205"/>
      <c r="I163" s="205"/>
      <c r="J163" s="205"/>
      <c r="K163" s="205"/>
      <c r="L163" s="205"/>
      <c r="M163" s="205"/>
      <c r="N163" s="205"/>
      <c r="O163" s="205"/>
      <c r="P163" s="205"/>
      <c r="Q163" s="205"/>
      <c r="R163" s="205"/>
      <c r="S163" s="205"/>
      <c r="T163" s="205"/>
      <c r="U163" s="205"/>
      <c r="V163" s="205"/>
    </row>
    <row r="164" spans="1:22" x14ac:dyDescent="0.15">
      <c r="A164" s="205"/>
      <c r="B164" s="205"/>
      <c r="C164" s="205"/>
      <c r="D164" s="205"/>
      <c r="E164" s="205"/>
      <c r="F164" s="205"/>
      <c r="G164" s="205"/>
      <c r="H164" s="205"/>
      <c r="I164" s="205"/>
      <c r="J164" s="205"/>
      <c r="K164" s="205"/>
      <c r="L164" s="205"/>
      <c r="M164" s="205"/>
      <c r="N164" s="205"/>
      <c r="O164" s="205"/>
      <c r="P164" s="205"/>
      <c r="Q164" s="205"/>
      <c r="R164" s="205"/>
      <c r="S164" s="205"/>
      <c r="T164" s="205"/>
      <c r="U164" s="205"/>
      <c r="V164" s="205"/>
    </row>
    <row r="165" spans="1:22" x14ac:dyDescent="0.15">
      <c r="A165" s="205"/>
      <c r="B165" s="205"/>
      <c r="C165" s="205"/>
      <c r="D165" s="205"/>
      <c r="E165" s="205"/>
      <c r="F165" s="205"/>
      <c r="G165" s="205"/>
      <c r="H165" s="205"/>
      <c r="I165" s="205"/>
      <c r="J165" s="205"/>
      <c r="K165" s="205"/>
      <c r="L165" s="205"/>
      <c r="M165" s="205"/>
      <c r="N165" s="205"/>
      <c r="O165" s="205"/>
      <c r="P165" s="205"/>
      <c r="Q165" s="205"/>
      <c r="R165" s="205"/>
      <c r="S165" s="205"/>
      <c r="T165" s="205"/>
      <c r="U165" s="205"/>
      <c r="V165" s="205"/>
    </row>
    <row r="166" spans="1:22" x14ac:dyDescent="0.15">
      <c r="A166" s="205"/>
      <c r="B166" s="205"/>
      <c r="C166" s="205"/>
      <c r="D166" s="205"/>
      <c r="E166" s="205"/>
      <c r="F166" s="205"/>
      <c r="G166" s="205"/>
      <c r="H166" s="205"/>
      <c r="I166" s="205"/>
      <c r="J166" s="205"/>
      <c r="K166" s="205"/>
      <c r="L166" s="205"/>
      <c r="M166" s="205"/>
      <c r="N166" s="205"/>
      <c r="O166" s="205"/>
      <c r="P166" s="205"/>
      <c r="Q166" s="205"/>
      <c r="R166" s="205"/>
      <c r="S166" s="205"/>
      <c r="T166" s="205"/>
      <c r="U166" s="205"/>
      <c r="V166" s="205"/>
    </row>
    <row r="167" spans="1:22" x14ac:dyDescent="0.15">
      <c r="A167" s="205"/>
      <c r="B167" s="205"/>
      <c r="C167" s="205"/>
      <c r="D167" s="205"/>
      <c r="E167" s="205"/>
      <c r="F167" s="205"/>
      <c r="G167" s="205"/>
      <c r="H167" s="205"/>
      <c r="I167" s="205"/>
      <c r="J167" s="205"/>
      <c r="K167" s="205"/>
      <c r="L167" s="205"/>
      <c r="M167" s="205"/>
      <c r="N167" s="205"/>
      <c r="O167" s="205"/>
      <c r="P167" s="205"/>
      <c r="Q167" s="205"/>
      <c r="R167" s="205"/>
      <c r="S167" s="205"/>
      <c r="T167" s="205"/>
      <c r="U167" s="205"/>
      <c r="V167" s="205"/>
    </row>
    <row r="168" spans="1:22" x14ac:dyDescent="0.15">
      <c r="A168" s="205"/>
      <c r="B168" s="205"/>
      <c r="C168" s="205"/>
      <c r="D168" s="205"/>
      <c r="E168" s="205"/>
      <c r="F168" s="205"/>
      <c r="G168" s="205"/>
      <c r="H168" s="205"/>
      <c r="I168" s="205"/>
      <c r="J168" s="205"/>
      <c r="K168" s="205"/>
      <c r="L168" s="205"/>
      <c r="M168" s="205"/>
      <c r="N168" s="205"/>
      <c r="O168" s="205"/>
      <c r="P168" s="205"/>
      <c r="Q168" s="205"/>
      <c r="R168" s="205"/>
      <c r="S168" s="205"/>
      <c r="T168" s="205"/>
      <c r="U168" s="205"/>
      <c r="V168" s="205"/>
    </row>
    <row r="169" spans="1:22" x14ac:dyDescent="0.15">
      <c r="A169" s="205"/>
      <c r="B169" s="205"/>
      <c r="C169" s="205"/>
      <c r="D169" s="205"/>
      <c r="E169" s="205"/>
      <c r="F169" s="205"/>
      <c r="G169" s="205"/>
      <c r="H169" s="205"/>
      <c r="I169" s="205"/>
      <c r="J169" s="205"/>
      <c r="K169" s="205"/>
      <c r="L169" s="205"/>
      <c r="M169" s="205"/>
      <c r="N169" s="205"/>
      <c r="O169" s="205"/>
      <c r="P169" s="205"/>
      <c r="Q169" s="205"/>
      <c r="R169" s="205"/>
      <c r="S169" s="205"/>
      <c r="T169" s="205"/>
      <c r="U169" s="205"/>
      <c r="V169" s="205"/>
    </row>
    <row r="170" spans="1:22" x14ac:dyDescent="0.15">
      <c r="A170" s="205"/>
      <c r="B170" s="205"/>
      <c r="C170" s="205"/>
      <c r="D170" s="205"/>
      <c r="E170" s="205"/>
      <c r="F170" s="205"/>
      <c r="G170" s="205"/>
      <c r="H170" s="205"/>
      <c r="I170" s="205"/>
      <c r="J170" s="205"/>
      <c r="K170" s="205"/>
      <c r="L170" s="205"/>
      <c r="M170" s="205"/>
      <c r="N170" s="205"/>
      <c r="O170" s="205"/>
      <c r="P170" s="205"/>
      <c r="Q170" s="205"/>
      <c r="R170" s="205"/>
      <c r="S170" s="205"/>
      <c r="T170" s="205"/>
      <c r="U170" s="205"/>
      <c r="V170" s="205"/>
    </row>
    <row r="208" spans="1:22" x14ac:dyDescent="0.15">
      <c r="A208" s="216"/>
      <c r="B208" s="216"/>
      <c r="C208" s="216"/>
      <c r="D208" s="216"/>
      <c r="E208" s="216"/>
      <c r="F208" s="216"/>
      <c r="G208" s="216"/>
      <c r="H208" s="216"/>
      <c r="I208" s="216"/>
      <c r="J208" s="216"/>
      <c r="K208" s="216"/>
      <c r="L208" s="216"/>
      <c r="M208" s="216"/>
      <c r="N208" s="216"/>
      <c r="O208" s="216"/>
      <c r="P208" s="216"/>
      <c r="Q208" s="216"/>
      <c r="R208" s="216"/>
      <c r="S208" s="216"/>
      <c r="T208" s="216"/>
      <c r="U208" s="216"/>
      <c r="V208" s="216"/>
    </row>
    <row r="209" spans="1:22" x14ac:dyDescent="0.15">
      <c r="A209" s="216"/>
      <c r="B209" s="216"/>
      <c r="C209" s="216"/>
      <c r="D209" s="216"/>
      <c r="E209" s="216"/>
      <c r="F209" s="216"/>
      <c r="G209" s="216"/>
      <c r="H209" s="216"/>
      <c r="I209" s="216"/>
      <c r="J209" s="216"/>
      <c r="K209" s="216"/>
      <c r="L209" s="216"/>
      <c r="M209" s="216"/>
      <c r="N209" s="216"/>
      <c r="O209" s="216"/>
      <c r="P209" s="216"/>
      <c r="Q209" s="216"/>
      <c r="R209" s="216"/>
      <c r="S209" s="216"/>
      <c r="T209" s="216"/>
      <c r="U209" s="216"/>
      <c r="V209" s="216"/>
    </row>
    <row r="210" spans="1:22" x14ac:dyDescent="0.15">
      <c r="A210" s="216"/>
      <c r="B210" s="216"/>
      <c r="C210" s="216"/>
      <c r="D210" s="216"/>
      <c r="E210" s="216"/>
      <c r="F210" s="216"/>
      <c r="G210" s="216"/>
      <c r="H210" s="216"/>
      <c r="I210" s="216"/>
      <c r="J210" s="216"/>
      <c r="K210" s="216"/>
      <c r="L210" s="216"/>
      <c r="M210" s="216"/>
      <c r="N210" s="216"/>
      <c r="O210" s="216"/>
      <c r="P210" s="216"/>
      <c r="Q210" s="216"/>
      <c r="R210" s="216"/>
      <c r="S210" s="216"/>
      <c r="T210" s="216"/>
      <c r="U210" s="216"/>
      <c r="V210" s="216"/>
    </row>
    <row r="211" spans="1:22" x14ac:dyDescent="0.15">
      <c r="A211" s="216"/>
      <c r="B211" s="216"/>
      <c r="C211" s="216"/>
      <c r="D211" s="216"/>
      <c r="E211" s="216"/>
      <c r="F211" s="216"/>
      <c r="G211" s="216"/>
      <c r="H211" s="216"/>
      <c r="I211" s="216"/>
      <c r="J211" s="216"/>
      <c r="K211" s="216"/>
      <c r="L211" s="216"/>
      <c r="M211" s="216"/>
      <c r="N211" s="216"/>
      <c r="O211" s="216"/>
      <c r="P211" s="216"/>
      <c r="Q211" s="216"/>
      <c r="R211" s="216"/>
      <c r="S211" s="216"/>
      <c r="T211" s="216"/>
      <c r="U211" s="216"/>
      <c r="V211" s="216"/>
    </row>
    <row r="212" spans="1:22" x14ac:dyDescent="0.15">
      <c r="A212" s="216"/>
      <c r="B212" s="216"/>
      <c r="C212" s="216"/>
      <c r="D212" s="216"/>
      <c r="E212" s="216"/>
      <c r="F212" s="216"/>
      <c r="G212" s="216"/>
      <c r="H212" s="216"/>
      <c r="I212" s="216"/>
      <c r="J212" s="216"/>
      <c r="K212" s="216"/>
      <c r="L212" s="216"/>
      <c r="M212" s="216"/>
      <c r="N212" s="216"/>
      <c r="O212" s="216"/>
      <c r="P212" s="216"/>
      <c r="Q212" s="216"/>
      <c r="R212" s="216"/>
      <c r="S212" s="216"/>
      <c r="T212" s="216"/>
      <c r="U212" s="216"/>
      <c r="V212" s="216"/>
    </row>
    <row r="213" spans="1:22" x14ac:dyDescent="0.15">
      <c r="A213" s="216"/>
      <c r="B213" s="216"/>
      <c r="C213" s="216"/>
      <c r="D213" s="216"/>
      <c r="E213" s="216"/>
      <c r="F213" s="216"/>
      <c r="G213" s="216"/>
      <c r="H213" s="216"/>
      <c r="I213" s="216"/>
      <c r="J213" s="216"/>
      <c r="K213" s="216"/>
      <c r="L213" s="216"/>
      <c r="M213" s="216"/>
      <c r="N213" s="216"/>
      <c r="O213" s="216"/>
      <c r="P213" s="216"/>
      <c r="Q213" s="216"/>
      <c r="R213" s="216"/>
      <c r="S213" s="216"/>
      <c r="T213" s="216"/>
      <c r="U213" s="216"/>
      <c r="V213" s="216"/>
    </row>
    <row r="214" spans="1:22" x14ac:dyDescent="0.15">
      <c r="A214" s="216"/>
      <c r="B214" s="216"/>
      <c r="C214" s="216"/>
      <c r="D214" s="216"/>
      <c r="E214" s="216"/>
      <c r="F214" s="216"/>
      <c r="G214" s="216"/>
      <c r="H214" s="216"/>
      <c r="I214" s="216"/>
      <c r="J214" s="216"/>
      <c r="K214" s="216"/>
      <c r="L214" s="216"/>
      <c r="M214" s="216"/>
      <c r="N214" s="216"/>
      <c r="O214" s="216"/>
      <c r="P214" s="216"/>
      <c r="Q214" s="216"/>
      <c r="R214" s="216"/>
      <c r="S214" s="216"/>
      <c r="T214" s="216"/>
      <c r="U214" s="216"/>
      <c r="V214" s="216"/>
    </row>
    <row r="215" spans="1:22" x14ac:dyDescent="0.15">
      <c r="A215" s="216"/>
      <c r="B215" s="216"/>
      <c r="C215" s="216"/>
      <c r="D215" s="216"/>
      <c r="E215" s="216"/>
      <c r="F215" s="216"/>
      <c r="G215" s="216"/>
      <c r="H215" s="216"/>
      <c r="I215" s="216"/>
      <c r="J215" s="216"/>
      <c r="K215" s="216"/>
      <c r="L215" s="216"/>
      <c r="M215" s="216"/>
      <c r="N215" s="216"/>
      <c r="O215" s="216"/>
      <c r="P215" s="216"/>
      <c r="Q215" s="216"/>
      <c r="R215" s="216"/>
      <c r="S215" s="216"/>
      <c r="T215" s="216"/>
      <c r="U215" s="216"/>
      <c r="V215" s="216"/>
    </row>
    <row r="216" spans="1:22" x14ac:dyDescent="0.15">
      <c r="A216" s="216"/>
      <c r="B216" s="216"/>
      <c r="C216" s="216"/>
      <c r="D216" s="216"/>
      <c r="E216" s="216"/>
      <c r="F216" s="216"/>
      <c r="G216" s="216"/>
      <c r="H216" s="216"/>
      <c r="I216" s="216"/>
      <c r="J216" s="216"/>
      <c r="K216" s="216"/>
      <c r="L216" s="216"/>
      <c r="M216" s="216"/>
      <c r="N216" s="216"/>
      <c r="O216" s="216"/>
      <c r="P216" s="216"/>
      <c r="Q216" s="216"/>
      <c r="R216" s="216"/>
      <c r="S216" s="216"/>
      <c r="T216" s="216"/>
      <c r="U216" s="216"/>
      <c r="V216" s="216"/>
    </row>
    <row r="217" spans="1:22" x14ac:dyDescent="0.15">
      <c r="A217" s="216"/>
      <c r="B217" s="216"/>
      <c r="C217" s="216"/>
      <c r="D217" s="216"/>
      <c r="E217" s="216"/>
      <c r="F217" s="216"/>
      <c r="G217" s="216"/>
      <c r="H217" s="216"/>
      <c r="I217" s="216"/>
      <c r="J217" s="216"/>
      <c r="K217" s="216"/>
      <c r="L217" s="216"/>
      <c r="M217" s="216"/>
      <c r="N217" s="216"/>
      <c r="O217" s="216"/>
      <c r="P217" s="216"/>
      <c r="Q217" s="216"/>
      <c r="R217" s="216"/>
      <c r="S217" s="216"/>
      <c r="T217" s="216"/>
      <c r="U217" s="216"/>
      <c r="V217" s="216"/>
    </row>
    <row r="218" spans="1:22" x14ac:dyDescent="0.15">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row>
    <row r="219" spans="1:22" x14ac:dyDescent="0.15">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row>
    <row r="220" spans="1:22" x14ac:dyDescent="0.15">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row>
    <row r="221" spans="1:22" x14ac:dyDescent="0.15">
      <c r="A221" s="216"/>
      <c r="B221" s="216"/>
      <c r="C221" s="216"/>
      <c r="D221" s="216"/>
      <c r="E221" s="216"/>
      <c r="F221" s="216"/>
      <c r="G221" s="216"/>
      <c r="H221" s="216"/>
      <c r="I221" s="216"/>
      <c r="J221" s="216"/>
      <c r="K221" s="216"/>
      <c r="L221" s="216"/>
      <c r="M221" s="216"/>
      <c r="N221" s="216"/>
      <c r="O221" s="216"/>
      <c r="P221" s="216"/>
      <c r="Q221" s="216"/>
      <c r="R221" s="216"/>
      <c r="S221" s="216"/>
      <c r="T221" s="216"/>
      <c r="U221" s="216"/>
      <c r="V221" s="216"/>
    </row>
    <row r="222" spans="1:22" x14ac:dyDescent="0.15">
      <c r="A222" s="216"/>
      <c r="B222" s="216"/>
      <c r="C222" s="216"/>
      <c r="D222" s="216"/>
      <c r="E222" s="216"/>
      <c r="F222" s="216"/>
      <c r="G222" s="216"/>
      <c r="H222" s="216"/>
      <c r="I222" s="216"/>
      <c r="J222" s="216"/>
      <c r="K222" s="216"/>
      <c r="L222" s="216"/>
      <c r="M222" s="216"/>
      <c r="N222" s="216"/>
      <c r="O222" s="216"/>
      <c r="P222" s="216"/>
      <c r="Q222" s="216"/>
      <c r="R222" s="216"/>
      <c r="S222" s="216"/>
      <c r="T222" s="216"/>
      <c r="U222" s="216"/>
      <c r="V222" s="216"/>
    </row>
    <row r="223" spans="1:22" x14ac:dyDescent="0.15">
      <c r="A223" s="216"/>
      <c r="B223" s="216"/>
      <c r="C223" s="216"/>
      <c r="D223" s="216"/>
      <c r="E223" s="216"/>
      <c r="F223" s="216"/>
      <c r="G223" s="216"/>
      <c r="H223" s="216"/>
      <c r="I223" s="216"/>
      <c r="J223" s="216"/>
      <c r="K223" s="216"/>
      <c r="L223" s="216"/>
      <c r="M223" s="216"/>
      <c r="N223" s="216"/>
      <c r="O223" s="216"/>
      <c r="P223" s="216"/>
      <c r="Q223" s="216"/>
      <c r="R223" s="216"/>
      <c r="S223" s="216"/>
      <c r="T223" s="216"/>
      <c r="U223" s="216"/>
      <c r="V223" s="216"/>
    </row>
    <row r="224" spans="1:22" x14ac:dyDescent="0.15">
      <c r="A224" s="216"/>
      <c r="B224" s="216"/>
      <c r="C224" s="216"/>
      <c r="D224" s="216"/>
      <c r="E224" s="216"/>
      <c r="F224" s="216"/>
      <c r="G224" s="216"/>
      <c r="H224" s="216"/>
      <c r="I224" s="216"/>
      <c r="J224" s="216"/>
      <c r="K224" s="216"/>
      <c r="L224" s="216"/>
      <c r="M224" s="216"/>
      <c r="N224" s="216"/>
      <c r="O224" s="216"/>
      <c r="P224" s="216"/>
      <c r="Q224" s="216"/>
      <c r="R224" s="216"/>
      <c r="S224" s="216"/>
      <c r="T224" s="216"/>
      <c r="U224" s="216"/>
      <c r="V224" s="216"/>
    </row>
    <row r="225" spans="1:22" x14ac:dyDescent="0.15">
      <c r="A225" s="216"/>
      <c r="B225" s="216"/>
      <c r="C225" s="216"/>
      <c r="D225" s="216"/>
      <c r="E225" s="216"/>
      <c r="F225" s="216"/>
      <c r="G225" s="216"/>
      <c r="H225" s="216"/>
      <c r="I225" s="216"/>
      <c r="J225" s="216"/>
      <c r="K225" s="216"/>
      <c r="L225" s="216"/>
      <c r="M225" s="216"/>
      <c r="N225" s="216"/>
      <c r="O225" s="216"/>
      <c r="P225" s="216"/>
      <c r="Q225" s="216"/>
      <c r="R225" s="216"/>
      <c r="S225" s="216"/>
      <c r="T225" s="216"/>
      <c r="U225" s="216"/>
      <c r="V225" s="216"/>
    </row>
    <row r="226" spans="1:22" x14ac:dyDescent="0.15">
      <c r="A226" s="216"/>
      <c r="B226" s="216"/>
      <c r="C226" s="216"/>
      <c r="D226" s="216"/>
      <c r="E226" s="216"/>
      <c r="F226" s="216"/>
      <c r="G226" s="216"/>
      <c r="H226" s="216"/>
      <c r="I226" s="216"/>
      <c r="J226" s="216"/>
      <c r="K226" s="216"/>
      <c r="L226" s="216"/>
      <c r="M226" s="216"/>
      <c r="N226" s="216"/>
      <c r="O226" s="216"/>
      <c r="P226" s="216"/>
      <c r="Q226" s="216"/>
      <c r="R226" s="216"/>
      <c r="S226" s="216"/>
      <c r="T226" s="216"/>
      <c r="U226" s="216"/>
      <c r="V226" s="216"/>
    </row>
    <row r="227" spans="1:22" x14ac:dyDescent="0.15">
      <c r="A227" s="216"/>
      <c r="B227" s="216"/>
      <c r="C227" s="216"/>
      <c r="D227" s="216"/>
      <c r="E227" s="216"/>
      <c r="F227" s="216"/>
      <c r="G227" s="216"/>
      <c r="H227" s="216"/>
      <c r="I227" s="216"/>
      <c r="J227" s="216"/>
      <c r="K227" s="216"/>
      <c r="L227" s="216"/>
      <c r="M227" s="216"/>
      <c r="N227" s="216"/>
      <c r="O227" s="216"/>
      <c r="P227" s="216"/>
      <c r="Q227" s="216"/>
      <c r="R227" s="216"/>
      <c r="S227" s="216"/>
      <c r="T227" s="216"/>
      <c r="U227" s="216"/>
      <c r="V227" s="216"/>
    </row>
    <row r="228" spans="1:22" x14ac:dyDescent="0.15">
      <c r="A228" s="216"/>
      <c r="B228" s="216"/>
      <c r="C228" s="216"/>
      <c r="D228" s="216"/>
      <c r="E228" s="216"/>
      <c r="F228" s="216"/>
      <c r="G228" s="216"/>
      <c r="H228" s="216"/>
      <c r="I228" s="216"/>
      <c r="J228" s="216"/>
      <c r="K228" s="216"/>
      <c r="L228" s="216"/>
      <c r="M228" s="216"/>
      <c r="N228" s="216"/>
      <c r="O228" s="216"/>
      <c r="P228" s="216"/>
      <c r="Q228" s="216"/>
      <c r="R228" s="216"/>
      <c r="S228" s="216"/>
      <c r="T228" s="216"/>
      <c r="U228" s="216"/>
      <c r="V228" s="216"/>
    </row>
    <row r="229" spans="1:22" x14ac:dyDescent="0.15">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row>
    <row r="230" spans="1:22" x14ac:dyDescent="0.15">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row>
    <row r="243" spans="1:22" x14ac:dyDescent="0.15">
      <c r="A243" s="216"/>
      <c r="B243" s="216"/>
      <c r="C243" s="216"/>
      <c r="D243" s="216"/>
      <c r="E243" s="216"/>
      <c r="F243" s="216"/>
      <c r="G243" s="216"/>
      <c r="H243" s="216"/>
      <c r="I243" s="216"/>
      <c r="J243" s="216"/>
      <c r="K243" s="216"/>
      <c r="L243" s="216"/>
      <c r="M243" s="216"/>
      <c r="N243" s="216"/>
      <c r="O243" s="216"/>
      <c r="P243" s="216"/>
      <c r="Q243" s="216"/>
      <c r="R243" s="216"/>
      <c r="S243" s="216"/>
      <c r="T243" s="216"/>
      <c r="U243" s="216"/>
      <c r="V243" s="216"/>
    </row>
    <row r="244" spans="1:22" x14ac:dyDescent="0.15">
      <c r="A244" s="216"/>
      <c r="B244" s="216"/>
      <c r="C244" s="216"/>
      <c r="D244" s="216"/>
      <c r="E244" s="216"/>
      <c r="F244" s="216"/>
      <c r="G244" s="216"/>
      <c r="H244" s="216"/>
      <c r="I244" s="216"/>
      <c r="J244" s="216"/>
      <c r="K244" s="216"/>
      <c r="L244" s="216"/>
      <c r="M244" s="216"/>
      <c r="N244" s="216"/>
      <c r="O244" s="216"/>
      <c r="P244" s="216"/>
      <c r="Q244" s="216"/>
      <c r="R244" s="216"/>
      <c r="S244" s="216"/>
      <c r="T244" s="216"/>
      <c r="U244" s="216"/>
      <c r="V244" s="216"/>
    </row>
    <row r="245" spans="1:22" x14ac:dyDescent="0.15">
      <c r="A245" s="216"/>
      <c r="B245" s="216"/>
      <c r="C245" s="216"/>
      <c r="D245" s="216"/>
      <c r="E245" s="216"/>
      <c r="F245" s="216"/>
      <c r="G245" s="216"/>
      <c r="H245" s="216"/>
      <c r="I245" s="216"/>
      <c r="J245" s="216"/>
      <c r="K245" s="216"/>
      <c r="L245" s="216"/>
      <c r="M245" s="216"/>
      <c r="N245" s="216"/>
      <c r="O245" s="216"/>
      <c r="P245" s="216"/>
      <c r="Q245" s="216"/>
      <c r="R245" s="216"/>
      <c r="S245" s="216"/>
      <c r="T245" s="216"/>
      <c r="U245" s="216"/>
      <c r="V245" s="216"/>
    </row>
    <row r="246" spans="1:22" x14ac:dyDescent="0.15">
      <c r="A246" s="216"/>
      <c r="B246" s="216"/>
      <c r="C246" s="216"/>
      <c r="D246" s="216"/>
      <c r="E246" s="216"/>
      <c r="F246" s="216"/>
      <c r="G246" s="216"/>
      <c r="H246" s="216"/>
      <c r="I246" s="216"/>
      <c r="J246" s="216"/>
      <c r="K246" s="216"/>
      <c r="L246" s="216"/>
      <c r="M246" s="216"/>
      <c r="N246" s="216"/>
      <c r="O246" s="216"/>
      <c r="P246" s="216"/>
      <c r="Q246" s="216"/>
      <c r="R246" s="216"/>
      <c r="S246" s="216"/>
      <c r="T246" s="216"/>
      <c r="U246" s="216"/>
      <c r="V246" s="216"/>
    </row>
    <row r="247" spans="1:22" x14ac:dyDescent="0.15">
      <c r="A247" s="216"/>
      <c r="B247" s="216"/>
      <c r="C247" s="216"/>
      <c r="D247" s="216"/>
      <c r="E247" s="216"/>
      <c r="F247" s="216"/>
      <c r="G247" s="216"/>
      <c r="H247" s="216"/>
      <c r="I247" s="216"/>
      <c r="J247" s="216"/>
      <c r="K247" s="216"/>
      <c r="L247" s="216"/>
      <c r="M247" s="216"/>
      <c r="N247" s="216"/>
      <c r="O247" s="216"/>
      <c r="P247" s="216"/>
      <c r="Q247" s="216"/>
      <c r="R247" s="216"/>
      <c r="S247" s="216"/>
      <c r="T247" s="216"/>
      <c r="U247" s="216"/>
      <c r="V247" s="216"/>
    </row>
    <row r="248" spans="1:22" x14ac:dyDescent="0.15">
      <c r="A248" s="216"/>
      <c r="B248" s="216"/>
      <c r="C248" s="216"/>
      <c r="D248" s="216"/>
      <c r="E248" s="216"/>
      <c r="F248" s="216"/>
      <c r="G248" s="216"/>
      <c r="H248" s="216"/>
      <c r="I248" s="216"/>
      <c r="J248" s="216"/>
      <c r="K248" s="216"/>
      <c r="L248" s="216"/>
      <c r="M248" s="216"/>
      <c r="N248" s="216"/>
      <c r="O248" s="216"/>
      <c r="P248" s="216"/>
      <c r="Q248" s="216"/>
      <c r="R248" s="216"/>
      <c r="S248" s="216"/>
      <c r="T248" s="216"/>
      <c r="U248" s="216"/>
      <c r="V248" s="216"/>
    </row>
    <row r="249" spans="1:22" x14ac:dyDescent="0.15">
      <c r="A249" s="216"/>
      <c r="B249" s="216"/>
      <c r="C249" s="216"/>
      <c r="D249" s="216"/>
      <c r="E249" s="216"/>
      <c r="F249" s="216"/>
      <c r="G249" s="216"/>
      <c r="H249" s="216"/>
      <c r="I249" s="216"/>
      <c r="J249" s="216"/>
      <c r="K249" s="216"/>
      <c r="L249" s="216"/>
      <c r="M249" s="216"/>
      <c r="N249" s="216"/>
      <c r="O249" s="216"/>
      <c r="P249" s="216"/>
      <c r="Q249" s="216"/>
      <c r="R249" s="216"/>
      <c r="S249" s="216"/>
      <c r="T249" s="216"/>
      <c r="U249" s="216"/>
      <c r="V249" s="216"/>
    </row>
    <row r="250" spans="1:22" x14ac:dyDescent="0.15">
      <c r="A250" s="216"/>
      <c r="B250" s="216"/>
      <c r="C250" s="216"/>
      <c r="D250" s="216"/>
      <c r="E250" s="216"/>
      <c r="F250" s="216"/>
      <c r="G250" s="216"/>
      <c r="H250" s="216"/>
      <c r="I250" s="216"/>
      <c r="J250" s="216"/>
      <c r="K250" s="216"/>
      <c r="L250" s="216"/>
      <c r="M250" s="216"/>
      <c r="N250" s="216"/>
      <c r="O250" s="216"/>
      <c r="P250" s="216"/>
      <c r="Q250" s="216"/>
      <c r="R250" s="216"/>
      <c r="S250" s="216"/>
      <c r="T250" s="216"/>
      <c r="U250" s="216"/>
      <c r="V250" s="216"/>
    </row>
    <row r="251" spans="1:22" x14ac:dyDescent="0.15">
      <c r="A251" s="216"/>
      <c r="B251" s="216"/>
      <c r="C251" s="216"/>
      <c r="D251" s="216"/>
      <c r="E251" s="216"/>
      <c r="F251" s="216"/>
      <c r="G251" s="216"/>
      <c r="H251" s="216"/>
      <c r="I251" s="216"/>
      <c r="J251" s="216"/>
      <c r="K251" s="216"/>
      <c r="L251" s="216"/>
      <c r="M251" s="216"/>
      <c r="N251" s="216"/>
      <c r="O251" s="216"/>
      <c r="P251" s="216"/>
      <c r="Q251" s="216"/>
      <c r="R251" s="216"/>
      <c r="S251" s="216"/>
      <c r="T251" s="216"/>
      <c r="U251" s="216"/>
      <c r="V251" s="216"/>
    </row>
    <row r="252" spans="1:22" x14ac:dyDescent="0.15">
      <c r="A252" s="216"/>
      <c r="B252" s="216"/>
      <c r="C252" s="216"/>
      <c r="D252" s="216"/>
      <c r="E252" s="216"/>
      <c r="F252" s="216"/>
      <c r="G252" s="216"/>
      <c r="H252" s="216"/>
      <c r="I252" s="216"/>
      <c r="J252" s="216"/>
      <c r="K252" s="216"/>
      <c r="L252" s="216"/>
      <c r="M252" s="216"/>
      <c r="N252" s="216"/>
      <c r="O252" s="216"/>
      <c r="P252" s="216"/>
      <c r="Q252" s="216"/>
      <c r="R252" s="216"/>
      <c r="S252" s="216"/>
      <c r="T252" s="216"/>
      <c r="U252" s="216"/>
      <c r="V252" s="216"/>
    </row>
    <row r="253" spans="1:22" x14ac:dyDescent="0.15">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row>
    <row r="254" spans="1:22" x14ac:dyDescent="0.15">
      <c r="A254" s="216"/>
      <c r="B254" s="216"/>
      <c r="C254" s="216"/>
      <c r="D254" s="216"/>
      <c r="E254" s="216"/>
      <c r="F254" s="216"/>
      <c r="G254" s="216"/>
      <c r="H254" s="216"/>
      <c r="I254" s="216"/>
      <c r="J254" s="216"/>
      <c r="K254" s="216"/>
      <c r="L254" s="216"/>
      <c r="M254" s="216"/>
      <c r="N254" s="216"/>
      <c r="O254" s="216"/>
      <c r="P254" s="216"/>
      <c r="Q254" s="216"/>
      <c r="R254" s="216"/>
      <c r="S254" s="216"/>
      <c r="T254" s="216"/>
      <c r="U254" s="216"/>
      <c r="V254" s="216"/>
    </row>
    <row r="255" spans="1:22" x14ac:dyDescent="0.15">
      <c r="A255" s="216"/>
      <c r="B255" s="216"/>
      <c r="C255" s="216"/>
      <c r="D255" s="216"/>
      <c r="E255" s="216"/>
      <c r="F255" s="216"/>
      <c r="G255" s="216"/>
      <c r="H255" s="216"/>
      <c r="I255" s="216"/>
      <c r="J255" s="216"/>
      <c r="K255" s="216"/>
      <c r="L255" s="216"/>
      <c r="M255" s="216"/>
      <c r="N255" s="216"/>
      <c r="O255" s="216"/>
      <c r="P255" s="216"/>
      <c r="Q255" s="216"/>
      <c r="R255" s="216"/>
      <c r="S255" s="216"/>
      <c r="T255" s="216"/>
      <c r="U255" s="216"/>
      <c r="V255" s="216"/>
    </row>
    <row r="256" spans="1:22" x14ac:dyDescent="0.15">
      <c r="A256" s="216"/>
      <c r="B256" s="216"/>
      <c r="C256" s="216"/>
      <c r="D256" s="216"/>
      <c r="E256" s="216"/>
      <c r="F256" s="216"/>
      <c r="G256" s="216"/>
      <c r="H256" s="216"/>
      <c r="I256" s="216"/>
      <c r="J256" s="216"/>
      <c r="K256" s="216"/>
      <c r="L256" s="216"/>
      <c r="M256" s="216"/>
      <c r="N256" s="216"/>
      <c r="O256" s="216"/>
      <c r="P256" s="216"/>
      <c r="Q256" s="216"/>
      <c r="R256" s="216"/>
      <c r="S256" s="216"/>
      <c r="T256" s="216"/>
      <c r="U256" s="216"/>
      <c r="V256" s="216"/>
    </row>
    <row r="257" spans="1:22" x14ac:dyDescent="0.15">
      <c r="A257" s="216"/>
      <c r="B257" s="216"/>
      <c r="C257" s="216"/>
      <c r="D257" s="216"/>
      <c r="E257" s="216"/>
      <c r="F257" s="216"/>
      <c r="G257" s="216"/>
      <c r="H257" s="216"/>
      <c r="I257" s="216"/>
      <c r="J257" s="216"/>
      <c r="K257" s="216"/>
      <c r="L257" s="216"/>
      <c r="M257" s="216"/>
      <c r="N257" s="216"/>
      <c r="O257" s="216"/>
      <c r="P257" s="216"/>
      <c r="Q257" s="216"/>
      <c r="R257" s="216"/>
      <c r="S257" s="216"/>
      <c r="T257" s="216"/>
      <c r="U257" s="216"/>
      <c r="V257" s="216"/>
    </row>
    <row r="258" spans="1:22" x14ac:dyDescent="0.15">
      <c r="A258" s="216"/>
      <c r="B258" s="216"/>
      <c r="C258" s="216"/>
      <c r="D258" s="216"/>
      <c r="E258" s="216"/>
      <c r="F258" s="216"/>
      <c r="G258" s="216"/>
      <c r="H258" s="216"/>
      <c r="I258" s="216"/>
      <c r="J258" s="216"/>
      <c r="K258" s="216"/>
      <c r="L258" s="216"/>
      <c r="M258" s="216"/>
      <c r="N258" s="216"/>
      <c r="O258" s="216"/>
      <c r="P258" s="216"/>
      <c r="Q258" s="216"/>
      <c r="R258" s="216"/>
      <c r="S258" s="216"/>
      <c r="T258" s="216"/>
      <c r="U258" s="216"/>
      <c r="V258" s="216"/>
    </row>
    <row r="259" spans="1:22" x14ac:dyDescent="0.15">
      <c r="A259" s="216"/>
      <c r="B259" s="216"/>
      <c r="C259" s="216"/>
      <c r="D259" s="216"/>
      <c r="E259" s="216"/>
      <c r="F259" s="216"/>
      <c r="G259" s="216"/>
      <c r="H259" s="216"/>
      <c r="I259" s="216"/>
      <c r="J259" s="216"/>
      <c r="K259" s="216"/>
      <c r="L259" s="216"/>
      <c r="M259" s="216"/>
      <c r="N259" s="216"/>
      <c r="O259" s="216"/>
      <c r="P259" s="216"/>
      <c r="Q259" s="216"/>
      <c r="R259" s="216"/>
      <c r="S259" s="216"/>
      <c r="T259" s="216"/>
      <c r="U259" s="216"/>
      <c r="V259" s="216"/>
    </row>
    <row r="260" spans="1:22" x14ac:dyDescent="0.15">
      <c r="A260" s="216"/>
      <c r="B260" s="216"/>
      <c r="C260" s="216"/>
      <c r="D260" s="216"/>
      <c r="E260" s="216"/>
      <c r="F260" s="216"/>
      <c r="G260" s="216"/>
      <c r="H260" s="216"/>
      <c r="I260" s="216"/>
      <c r="J260" s="216"/>
      <c r="K260" s="216"/>
      <c r="L260" s="216"/>
      <c r="M260" s="216"/>
      <c r="N260" s="216"/>
      <c r="O260" s="216"/>
      <c r="P260" s="216"/>
      <c r="Q260" s="216"/>
      <c r="R260" s="216"/>
      <c r="S260" s="216"/>
      <c r="T260" s="216"/>
      <c r="U260" s="216"/>
      <c r="V260" s="216"/>
    </row>
    <row r="261" spans="1:22" x14ac:dyDescent="0.15">
      <c r="A261" s="216"/>
      <c r="B261" s="216"/>
      <c r="C261" s="216"/>
      <c r="D261" s="216"/>
      <c r="E261" s="216"/>
      <c r="F261" s="216"/>
      <c r="G261" s="216"/>
      <c r="H261" s="216"/>
      <c r="I261" s="216"/>
      <c r="J261" s="216"/>
      <c r="K261" s="216"/>
      <c r="L261" s="216"/>
      <c r="M261" s="216"/>
      <c r="N261" s="216"/>
      <c r="O261" s="216"/>
      <c r="P261" s="216"/>
      <c r="Q261" s="216"/>
      <c r="R261" s="216"/>
      <c r="S261" s="216"/>
      <c r="T261" s="216"/>
      <c r="U261" s="216"/>
      <c r="V261" s="216"/>
    </row>
    <row r="262" spans="1:22" x14ac:dyDescent="0.15">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row>
    <row r="263" spans="1:22" x14ac:dyDescent="0.15">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row>
    <row r="264" spans="1:22" x14ac:dyDescent="0.15">
      <c r="A264" s="216"/>
      <c r="B264" s="216"/>
      <c r="C264" s="216"/>
      <c r="D264" s="216"/>
      <c r="E264" s="216"/>
      <c r="F264" s="216"/>
      <c r="G264" s="216"/>
      <c r="H264" s="216"/>
      <c r="I264" s="216"/>
      <c r="J264" s="216"/>
      <c r="K264" s="216"/>
      <c r="L264" s="216"/>
      <c r="M264" s="216"/>
      <c r="N264" s="216"/>
      <c r="O264" s="216"/>
      <c r="P264" s="216"/>
      <c r="Q264" s="216"/>
      <c r="R264" s="216"/>
      <c r="S264" s="216"/>
      <c r="T264" s="216"/>
      <c r="U264" s="216"/>
      <c r="V264" s="216"/>
    </row>
    <row r="265" spans="1:22" x14ac:dyDescent="0.15">
      <c r="A265" s="216"/>
      <c r="B265" s="216"/>
      <c r="C265" s="216"/>
      <c r="D265" s="216"/>
      <c r="E265" s="216"/>
      <c r="F265" s="216"/>
      <c r="G265" s="216"/>
      <c r="H265" s="216"/>
      <c r="I265" s="216"/>
      <c r="J265" s="216"/>
      <c r="K265" s="216"/>
      <c r="L265" s="216"/>
      <c r="M265" s="216"/>
      <c r="N265" s="216"/>
      <c r="O265" s="216"/>
      <c r="P265" s="216"/>
      <c r="Q265" s="216"/>
      <c r="R265" s="216"/>
      <c r="S265" s="216"/>
      <c r="T265" s="216"/>
      <c r="U265" s="216"/>
      <c r="V265" s="216"/>
    </row>
    <row r="266" spans="1:22" x14ac:dyDescent="0.15">
      <c r="A266" s="216"/>
      <c r="B266" s="216"/>
      <c r="C266" s="216"/>
      <c r="D266" s="216"/>
      <c r="E266" s="216"/>
      <c r="F266" s="216"/>
      <c r="G266" s="216"/>
      <c r="H266" s="216"/>
      <c r="I266" s="216"/>
      <c r="J266" s="216"/>
      <c r="K266" s="216"/>
      <c r="L266" s="216"/>
      <c r="M266" s="216"/>
      <c r="N266" s="216"/>
      <c r="O266" s="216"/>
      <c r="P266" s="216"/>
      <c r="Q266" s="216"/>
      <c r="R266" s="216"/>
      <c r="S266" s="216"/>
      <c r="T266" s="216"/>
      <c r="U266" s="216"/>
      <c r="V266" s="216"/>
    </row>
    <row r="267" spans="1:22" x14ac:dyDescent="0.15">
      <c r="A267" s="216"/>
      <c r="B267" s="216"/>
      <c r="C267" s="216"/>
      <c r="D267" s="216"/>
      <c r="E267" s="216"/>
      <c r="F267" s="216"/>
      <c r="G267" s="216"/>
      <c r="H267" s="216"/>
      <c r="I267" s="216"/>
      <c r="J267" s="216"/>
      <c r="K267" s="216"/>
      <c r="L267" s="216"/>
      <c r="M267" s="216"/>
      <c r="N267" s="216"/>
      <c r="O267" s="216"/>
      <c r="P267" s="216"/>
      <c r="Q267" s="216"/>
      <c r="R267" s="216"/>
      <c r="S267" s="216"/>
      <c r="T267" s="216"/>
      <c r="U267" s="216"/>
      <c r="V267" s="216"/>
    </row>
    <row r="268" spans="1:22" x14ac:dyDescent="0.15">
      <c r="A268" s="216"/>
      <c r="B268" s="216"/>
      <c r="C268" s="216"/>
      <c r="D268" s="216"/>
      <c r="E268" s="216"/>
      <c r="F268" s="216"/>
      <c r="G268" s="216"/>
      <c r="H268" s="216"/>
      <c r="I268" s="216"/>
      <c r="J268" s="216"/>
      <c r="K268" s="216"/>
      <c r="L268" s="216"/>
      <c r="M268" s="216"/>
      <c r="N268" s="216"/>
      <c r="O268" s="216"/>
      <c r="P268" s="216"/>
      <c r="Q268" s="216"/>
      <c r="R268" s="216"/>
      <c r="S268" s="216"/>
      <c r="T268" s="216"/>
      <c r="U268" s="216"/>
      <c r="V268" s="216"/>
    </row>
    <row r="269" spans="1:22" x14ac:dyDescent="0.15">
      <c r="A269" s="216"/>
      <c r="B269" s="216"/>
      <c r="C269" s="216"/>
      <c r="D269" s="216"/>
      <c r="E269" s="216"/>
      <c r="F269" s="216"/>
      <c r="G269" s="216"/>
      <c r="H269" s="216"/>
      <c r="I269" s="216"/>
      <c r="J269" s="216"/>
      <c r="K269" s="216"/>
      <c r="L269" s="216"/>
      <c r="M269" s="216"/>
      <c r="N269" s="216"/>
      <c r="O269" s="216"/>
      <c r="P269" s="216"/>
      <c r="Q269" s="216"/>
      <c r="R269" s="216"/>
      <c r="S269" s="216"/>
      <c r="T269" s="216"/>
      <c r="U269" s="216"/>
      <c r="V269" s="216"/>
    </row>
    <row r="613" spans="1:22" x14ac:dyDescent="0.15">
      <c r="A613" s="216"/>
      <c r="B613" s="216"/>
      <c r="C613" s="216"/>
      <c r="D613" s="216"/>
      <c r="E613" s="216"/>
      <c r="F613" s="216"/>
      <c r="G613" s="216"/>
      <c r="H613" s="216"/>
      <c r="I613" s="216"/>
      <c r="J613" s="216"/>
      <c r="K613" s="216"/>
      <c r="L613" s="216"/>
      <c r="M613" s="216"/>
      <c r="N613" s="216"/>
      <c r="O613" s="216"/>
      <c r="P613" s="216"/>
      <c r="Q613" s="216"/>
      <c r="R613" s="216"/>
      <c r="S613" s="216"/>
      <c r="T613" s="216"/>
      <c r="U613" s="216"/>
      <c r="V613" s="216"/>
    </row>
    <row r="614" spans="1:22" x14ac:dyDescent="0.15">
      <c r="A614" s="216"/>
      <c r="B614" s="216"/>
      <c r="C614" s="216"/>
      <c r="D614" s="216"/>
      <c r="E614" s="216"/>
      <c r="F614" s="216"/>
      <c r="G614" s="216"/>
      <c r="H614" s="216"/>
      <c r="I614" s="216"/>
      <c r="J614" s="216"/>
      <c r="K614" s="216"/>
      <c r="L614" s="216"/>
      <c r="M614" s="216"/>
      <c r="N614" s="216"/>
      <c r="O614" s="216"/>
      <c r="P614" s="216"/>
      <c r="Q614" s="216"/>
      <c r="R614" s="216"/>
      <c r="S614" s="216"/>
      <c r="T614" s="216"/>
      <c r="U614" s="216"/>
      <c r="V614" s="216"/>
    </row>
    <row r="615" spans="1:22" x14ac:dyDescent="0.15">
      <c r="A615" s="216"/>
      <c r="B615" s="216"/>
      <c r="C615" s="216"/>
      <c r="D615" s="216"/>
      <c r="E615" s="216"/>
      <c r="F615" s="216"/>
      <c r="G615" s="216"/>
      <c r="H615" s="216"/>
      <c r="I615" s="216"/>
      <c r="J615" s="216"/>
      <c r="K615" s="216"/>
      <c r="L615" s="216"/>
      <c r="M615" s="216"/>
      <c r="N615" s="216"/>
      <c r="O615" s="216"/>
      <c r="P615" s="216"/>
      <c r="Q615" s="216"/>
      <c r="R615" s="216"/>
      <c r="S615" s="216"/>
      <c r="T615" s="216"/>
      <c r="U615" s="216"/>
      <c r="V615" s="216"/>
    </row>
    <row r="616" spans="1:22" x14ac:dyDescent="0.15">
      <c r="A616" s="216"/>
      <c r="B616" s="216"/>
      <c r="C616" s="216"/>
      <c r="D616" s="216"/>
      <c r="E616" s="216"/>
      <c r="F616" s="216"/>
      <c r="G616" s="216"/>
      <c r="H616" s="216"/>
      <c r="I616" s="216"/>
      <c r="J616" s="216"/>
      <c r="K616" s="216"/>
      <c r="L616" s="216"/>
      <c r="M616" s="216"/>
      <c r="N616" s="216"/>
      <c r="O616" s="216"/>
      <c r="P616" s="216"/>
      <c r="Q616" s="216"/>
      <c r="R616" s="216"/>
      <c r="S616" s="216"/>
      <c r="T616" s="216"/>
      <c r="U616" s="216"/>
      <c r="V616" s="216"/>
    </row>
    <row r="617" spans="1:22" x14ac:dyDescent="0.15">
      <c r="A617" s="216"/>
      <c r="B617" s="216"/>
      <c r="C617" s="216"/>
      <c r="D617" s="216"/>
      <c r="E617" s="216"/>
      <c r="F617" s="216"/>
      <c r="G617" s="216"/>
      <c r="H617" s="216"/>
      <c r="I617" s="216"/>
      <c r="J617" s="216"/>
      <c r="K617" s="216"/>
      <c r="L617" s="216"/>
      <c r="M617" s="216"/>
      <c r="N617" s="216"/>
      <c r="O617" s="216"/>
      <c r="P617" s="216"/>
      <c r="Q617" s="216"/>
      <c r="R617" s="216"/>
      <c r="S617" s="216"/>
      <c r="T617" s="216"/>
      <c r="U617" s="216"/>
      <c r="V617" s="216"/>
    </row>
    <row r="618" spans="1:22" x14ac:dyDescent="0.15">
      <c r="A618" s="216"/>
      <c r="B618" s="216"/>
      <c r="C618" s="216"/>
      <c r="D618" s="216"/>
      <c r="E618" s="216"/>
      <c r="F618" s="216"/>
      <c r="G618" s="216"/>
      <c r="H618" s="216"/>
      <c r="I618" s="216"/>
      <c r="J618" s="216"/>
      <c r="K618" s="216"/>
      <c r="L618" s="216"/>
      <c r="M618" s="216"/>
      <c r="N618" s="216"/>
      <c r="O618" s="216"/>
      <c r="P618" s="216"/>
      <c r="Q618" s="216"/>
      <c r="R618" s="216"/>
      <c r="S618" s="216"/>
      <c r="T618" s="216"/>
      <c r="U618" s="216"/>
      <c r="V618" s="216"/>
    </row>
    <row r="619" spans="1:22" x14ac:dyDescent="0.15">
      <c r="A619" s="216"/>
      <c r="B619" s="216"/>
      <c r="C619" s="216"/>
      <c r="D619" s="216"/>
      <c r="E619" s="216"/>
      <c r="F619" s="216"/>
      <c r="G619" s="216"/>
      <c r="H619" s="216"/>
      <c r="I619" s="216"/>
      <c r="J619" s="216"/>
      <c r="K619" s="216"/>
      <c r="L619" s="216"/>
      <c r="M619" s="216"/>
      <c r="N619" s="216"/>
      <c r="O619" s="216"/>
      <c r="P619" s="216"/>
      <c r="Q619" s="216"/>
      <c r="R619" s="216"/>
      <c r="S619" s="216"/>
      <c r="T619" s="216"/>
      <c r="U619" s="216"/>
      <c r="V619" s="216"/>
    </row>
    <row r="620" spans="1:22" x14ac:dyDescent="0.15">
      <c r="A620" s="216"/>
      <c r="B620" s="216"/>
      <c r="C620" s="216"/>
      <c r="D620" s="216"/>
      <c r="E620" s="216"/>
      <c r="F620" s="216"/>
      <c r="G620" s="216"/>
      <c r="H620" s="216"/>
      <c r="I620" s="216"/>
      <c r="J620" s="216"/>
      <c r="K620" s="216"/>
      <c r="L620" s="216"/>
      <c r="M620" s="216"/>
      <c r="N620" s="216"/>
      <c r="O620" s="216"/>
      <c r="P620" s="216"/>
      <c r="Q620" s="216"/>
      <c r="R620" s="216"/>
      <c r="S620" s="216"/>
      <c r="T620" s="216"/>
      <c r="U620" s="216"/>
      <c r="V620" s="216"/>
    </row>
    <row r="621" spans="1:22" x14ac:dyDescent="0.15">
      <c r="A621" s="216"/>
      <c r="B621" s="216"/>
      <c r="C621" s="216"/>
      <c r="D621" s="216"/>
      <c r="E621" s="216"/>
      <c r="F621" s="216"/>
      <c r="G621" s="216"/>
      <c r="H621" s="216"/>
      <c r="I621" s="216"/>
      <c r="J621" s="216"/>
      <c r="K621" s="216"/>
      <c r="L621" s="216"/>
      <c r="M621" s="216"/>
      <c r="N621" s="216"/>
      <c r="O621" s="216"/>
      <c r="P621" s="216"/>
      <c r="Q621" s="216"/>
      <c r="R621" s="216"/>
      <c r="S621" s="216"/>
      <c r="T621" s="216"/>
      <c r="U621" s="216"/>
      <c r="V621" s="216"/>
    </row>
    <row r="622" spans="1:22" x14ac:dyDescent="0.15">
      <c r="A622" s="216"/>
      <c r="B622" s="216"/>
      <c r="C622" s="216"/>
      <c r="D622" s="216"/>
      <c r="E622" s="216"/>
      <c r="F622" s="216"/>
      <c r="G622" s="216"/>
      <c r="H622" s="216"/>
      <c r="I622" s="216"/>
      <c r="J622" s="216"/>
      <c r="K622" s="216"/>
      <c r="L622" s="216"/>
      <c r="M622" s="216"/>
      <c r="N622" s="216"/>
      <c r="O622" s="216"/>
      <c r="P622" s="216"/>
      <c r="Q622" s="216"/>
      <c r="R622" s="216"/>
      <c r="S622" s="216"/>
      <c r="T622" s="216"/>
      <c r="U622" s="216"/>
      <c r="V622" s="216"/>
    </row>
    <row r="623" spans="1:22" x14ac:dyDescent="0.15">
      <c r="A623" s="216"/>
      <c r="B623" s="216"/>
      <c r="C623" s="216"/>
      <c r="D623" s="216"/>
      <c r="E623" s="216"/>
      <c r="F623" s="216"/>
      <c r="G623" s="216"/>
      <c r="H623" s="216"/>
      <c r="I623" s="216"/>
      <c r="J623" s="216"/>
      <c r="K623" s="216"/>
      <c r="L623" s="216"/>
      <c r="M623" s="216"/>
      <c r="N623" s="216"/>
      <c r="O623" s="216"/>
      <c r="P623" s="216"/>
      <c r="Q623" s="216"/>
      <c r="R623" s="216"/>
      <c r="S623" s="216"/>
      <c r="T623" s="216"/>
      <c r="U623" s="216"/>
      <c r="V623" s="216"/>
    </row>
    <row r="624" spans="1:22" x14ac:dyDescent="0.15">
      <c r="A624" s="216"/>
      <c r="B624" s="216"/>
      <c r="C624" s="216"/>
      <c r="D624" s="216"/>
      <c r="E624" s="216"/>
      <c r="F624" s="216"/>
      <c r="G624" s="216"/>
      <c r="H624" s="216"/>
      <c r="I624" s="216"/>
      <c r="J624" s="216"/>
      <c r="K624" s="216"/>
      <c r="L624" s="216"/>
      <c r="M624" s="216"/>
      <c r="N624" s="216"/>
      <c r="O624" s="216"/>
      <c r="P624" s="216"/>
      <c r="Q624" s="216"/>
      <c r="R624" s="216"/>
      <c r="S624" s="216"/>
      <c r="T624" s="216"/>
      <c r="U624" s="216"/>
      <c r="V624" s="216"/>
    </row>
    <row r="625" spans="1:22" x14ac:dyDescent="0.15">
      <c r="A625" s="216"/>
      <c r="B625" s="216"/>
      <c r="C625" s="216"/>
      <c r="D625" s="216"/>
      <c r="E625" s="216"/>
      <c r="F625" s="216"/>
      <c r="G625" s="216"/>
      <c r="H625" s="216"/>
      <c r="I625" s="216"/>
      <c r="J625" s="216"/>
      <c r="K625" s="216"/>
      <c r="L625" s="216"/>
      <c r="M625" s="216"/>
      <c r="N625" s="216"/>
      <c r="O625" s="216"/>
      <c r="P625" s="216"/>
      <c r="Q625" s="216"/>
      <c r="R625" s="216"/>
      <c r="S625" s="216"/>
      <c r="T625" s="216"/>
      <c r="U625" s="216"/>
      <c r="V625" s="216"/>
    </row>
    <row r="626" spans="1:22" x14ac:dyDescent="0.15">
      <c r="A626" s="216"/>
      <c r="B626" s="216"/>
      <c r="C626" s="216"/>
      <c r="D626" s="216"/>
      <c r="E626" s="216"/>
      <c r="F626" s="216"/>
      <c r="G626" s="216"/>
      <c r="H626" s="216"/>
      <c r="I626" s="216"/>
      <c r="J626" s="216"/>
      <c r="K626" s="216"/>
      <c r="L626" s="216"/>
      <c r="M626" s="216"/>
      <c r="N626" s="216"/>
      <c r="O626" s="216"/>
      <c r="P626" s="216"/>
      <c r="Q626" s="216"/>
      <c r="R626" s="216"/>
      <c r="S626" s="216"/>
      <c r="T626" s="216"/>
      <c r="U626" s="216"/>
      <c r="V626" s="216"/>
    </row>
    <row r="627" spans="1:22" x14ac:dyDescent="0.15">
      <c r="A627" s="216"/>
      <c r="B627" s="216"/>
      <c r="C627" s="216"/>
      <c r="D627" s="216"/>
      <c r="E627" s="216"/>
      <c r="F627" s="216"/>
      <c r="G627" s="216"/>
      <c r="H627" s="216"/>
      <c r="I627" s="216"/>
      <c r="J627" s="216"/>
      <c r="K627" s="216"/>
      <c r="L627" s="216"/>
      <c r="M627" s="216"/>
      <c r="N627" s="216"/>
      <c r="O627" s="216"/>
      <c r="P627" s="216"/>
      <c r="Q627" s="216"/>
      <c r="R627" s="216"/>
      <c r="S627" s="216"/>
      <c r="T627" s="216"/>
      <c r="U627" s="216"/>
      <c r="V627" s="216"/>
    </row>
    <row r="628" spans="1:22" x14ac:dyDescent="0.15">
      <c r="A628" s="216"/>
      <c r="B628" s="216"/>
      <c r="C628" s="216"/>
      <c r="D628" s="216"/>
      <c r="E628" s="216"/>
      <c r="F628" s="216"/>
      <c r="G628" s="216"/>
      <c r="H628" s="216"/>
      <c r="I628" s="216"/>
      <c r="J628" s="216"/>
      <c r="K628" s="216"/>
      <c r="L628" s="216"/>
      <c r="M628" s="216"/>
      <c r="N628" s="216"/>
      <c r="O628" s="216"/>
      <c r="P628" s="216"/>
      <c r="Q628" s="216"/>
      <c r="R628" s="216"/>
      <c r="S628" s="216"/>
      <c r="T628" s="216"/>
      <c r="U628" s="216"/>
      <c r="V628" s="216"/>
    </row>
    <row r="629" spans="1:22" x14ac:dyDescent="0.15">
      <c r="A629" s="216"/>
      <c r="B629" s="216"/>
      <c r="C629" s="216"/>
      <c r="D629" s="216"/>
      <c r="E629" s="216"/>
      <c r="F629" s="216"/>
      <c r="G629" s="216"/>
      <c r="H629" s="216"/>
      <c r="I629" s="216"/>
      <c r="J629" s="216"/>
      <c r="K629" s="216"/>
      <c r="L629" s="216"/>
      <c r="M629" s="216"/>
      <c r="N629" s="216"/>
      <c r="O629" s="216"/>
      <c r="P629" s="216"/>
      <c r="Q629" s="216"/>
      <c r="R629" s="216"/>
      <c r="S629" s="216"/>
      <c r="T629" s="216"/>
      <c r="U629" s="216"/>
      <c r="V629" s="216"/>
    </row>
    <row r="630" spans="1:22" x14ac:dyDescent="0.15">
      <c r="A630" s="216"/>
      <c r="B630" s="216"/>
      <c r="C630" s="216"/>
      <c r="D630" s="216"/>
      <c r="E630" s="216"/>
      <c r="F630" s="216"/>
      <c r="G630" s="216"/>
      <c r="H630" s="216"/>
      <c r="I630" s="216"/>
      <c r="J630" s="216"/>
      <c r="K630" s="216"/>
      <c r="L630" s="216"/>
      <c r="M630" s="216"/>
      <c r="N630" s="216"/>
      <c r="O630" s="216"/>
      <c r="P630" s="216"/>
      <c r="Q630" s="216"/>
      <c r="R630" s="216"/>
      <c r="S630" s="216"/>
      <c r="T630" s="216"/>
      <c r="U630" s="216"/>
      <c r="V630" s="216"/>
    </row>
    <row r="631" spans="1:22" x14ac:dyDescent="0.15">
      <c r="A631" s="216"/>
      <c r="B631" s="216"/>
      <c r="C631" s="216"/>
      <c r="D631" s="216"/>
      <c r="E631" s="216"/>
      <c r="F631" s="216"/>
      <c r="G631" s="216"/>
      <c r="H631" s="216"/>
      <c r="I631" s="216"/>
      <c r="J631" s="216"/>
      <c r="K631" s="216"/>
      <c r="L631" s="216"/>
      <c r="M631" s="216"/>
      <c r="N631" s="216"/>
      <c r="O631" s="216"/>
      <c r="P631" s="216"/>
      <c r="Q631" s="216"/>
      <c r="R631" s="216"/>
      <c r="S631" s="216"/>
      <c r="T631" s="216"/>
      <c r="U631" s="216"/>
      <c r="V631" s="216"/>
    </row>
    <row r="632" spans="1:22" x14ac:dyDescent="0.15">
      <c r="A632" s="216"/>
      <c r="B632" s="216"/>
      <c r="C632" s="216"/>
      <c r="D632" s="216"/>
      <c r="E632" s="216"/>
      <c r="F632" s="216"/>
      <c r="G632" s="216"/>
      <c r="H632" s="216"/>
      <c r="I632" s="216"/>
      <c r="J632" s="216"/>
      <c r="K632" s="216"/>
      <c r="L632" s="216"/>
      <c r="M632" s="216"/>
      <c r="N632" s="216"/>
      <c r="O632" s="216"/>
      <c r="P632" s="216"/>
      <c r="Q632" s="216"/>
      <c r="R632" s="216"/>
      <c r="S632" s="216"/>
      <c r="T632" s="216"/>
      <c r="U632" s="216"/>
      <c r="V632" s="216"/>
    </row>
    <row r="633" spans="1:22" x14ac:dyDescent="0.15">
      <c r="A633" s="216"/>
      <c r="B633" s="216"/>
      <c r="C633" s="216"/>
      <c r="D633" s="216"/>
      <c r="E633" s="216"/>
      <c r="F633" s="216"/>
      <c r="G633" s="216"/>
      <c r="H633" s="216"/>
      <c r="I633" s="216"/>
      <c r="J633" s="216"/>
      <c r="K633" s="216"/>
      <c r="L633" s="216"/>
      <c r="M633" s="216"/>
      <c r="N633" s="216"/>
      <c r="O633" s="216"/>
      <c r="P633" s="216"/>
      <c r="Q633" s="216"/>
      <c r="R633" s="216"/>
      <c r="S633" s="216"/>
      <c r="T633" s="216"/>
      <c r="U633" s="216"/>
      <c r="V633" s="216"/>
    </row>
    <row r="634" spans="1:22" x14ac:dyDescent="0.15">
      <c r="A634" s="216"/>
      <c r="B634" s="216"/>
      <c r="C634" s="216"/>
      <c r="D634" s="216"/>
      <c r="E634" s="216"/>
      <c r="F634" s="216"/>
      <c r="G634" s="216"/>
      <c r="H634" s="216"/>
      <c r="I634" s="216"/>
      <c r="J634" s="216"/>
      <c r="K634" s="216"/>
      <c r="L634" s="216"/>
      <c r="M634" s="216"/>
      <c r="N634" s="216"/>
      <c r="O634" s="216"/>
      <c r="P634" s="216"/>
      <c r="Q634" s="216"/>
      <c r="R634" s="216"/>
      <c r="S634" s="216"/>
      <c r="T634" s="216"/>
      <c r="U634" s="216"/>
      <c r="V634" s="216"/>
    </row>
    <row r="635" spans="1:22" x14ac:dyDescent="0.15">
      <c r="A635" s="216"/>
      <c r="B635" s="216"/>
      <c r="C635" s="216"/>
      <c r="D635" s="216"/>
      <c r="E635" s="216"/>
      <c r="F635" s="216"/>
      <c r="G635" s="216"/>
      <c r="H635" s="216"/>
      <c r="I635" s="216"/>
      <c r="J635" s="216"/>
      <c r="K635" s="216"/>
      <c r="L635" s="216"/>
      <c r="M635" s="216"/>
      <c r="N635" s="216"/>
      <c r="O635" s="216"/>
      <c r="P635" s="216"/>
      <c r="Q635" s="216"/>
      <c r="R635" s="216"/>
      <c r="S635" s="216"/>
      <c r="T635" s="216"/>
      <c r="U635" s="216"/>
      <c r="V635" s="216"/>
    </row>
    <row r="636" spans="1:22" x14ac:dyDescent="0.15">
      <c r="A636" s="216"/>
      <c r="B636" s="216"/>
      <c r="C636" s="216"/>
      <c r="D636" s="216"/>
      <c r="E636" s="216"/>
      <c r="F636" s="216"/>
      <c r="G636" s="216"/>
      <c r="H636" s="216"/>
      <c r="I636" s="216"/>
      <c r="J636" s="216"/>
      <c r="K636" s="216"/>
      <c r="L636" s="216"/>
      <c r="M636" s="216"/>
      <c r="N636" s="216"/>
      <c r="O636" s="216"/>
      <c r="P636" s="216"/>
      <c r="Q636" s="216"/>
      <c r="R636" s="216"/>
      <c r="S636" s="216"/>
      <c r="T636" s="216"/>
      <c r="U636" s="216"/>
      <c r="V636" s="216"/>
    </row>
    <row r="637" spans="1:22" x14ac:dyDescent="0.15">
      <c r="A637" s="216"/>
      <c r="B637" s="216"/>
      <c r="C637" s="216"/>
      <c r="D637" s="216"/>
      <c r="E637" s="216"/>
      <c r="F637" s="216"/>
      <c r="G637" s="216"/>
      <c r="H637" s="216"/>
      <c r="I637" s="216"/>
      <c r="J637" s="216"/>
      <c r="K637" s="216"/>
      <c r="L637" s="216"/>
      <c r="M637" s="216"/>
      <c r="N637" s="216"/>
      <c r="O637" s="216"/>
      <c r="P637" s="216"/>
      <c r="Q637" s="216"/>
      <c r="R637" s="216"/>
      <c r="S637" s="216"/>
      <c r="T637" s="216"/>
      <c r="U637" s="216"/>
      <c r="V637" s="216"/>
    </row>
    <row r="638" spans="1:22" x14ac:dyDescent="0.15">
      <c r="A638" s="216"/>
      <c r="B638" s="216"/>
      <c r="C638" s="216"/>
      <c r="D638" s="216"/>
      <c r="E638" s="216"/>
      <c r="F638" s="216"/>
      <c r="G638" s="216"/>
      <c r="H638" s="216"/>
      <c r="I638" s="216"/>
      <c r="J638" s="216"/>
      <c r="K638" s="216"/>
      <c r="L638" s="216"/>
      <c r="M638" s="216"/>
      <c r="N638" s="216"/>
      <c r="O638" s="216"/>
      <c r="P638" s="216"/>
      <c r="Q638" s="216"/>
      <c r="R638" s="216"/>
      <c r="S638" s="216"/>
      <c r="T638" s="216"/>
      <c r="U638" s="216"/>
      <c r="V638" s="216"/>
    </row>
    <row r="639" spans="1:22" x14ac:dyDescent="0.15">
      <c r="A639" s="216"/>
      <c r="B639" s="216"/>
      <c r="C639" s="216"/>
      <c r="D639" s="216"/>
      <c r="E639" s="216"/>
      <c r="F639" s="216"/>
      <c r="G639" s="216"/>
      <c r="H639" s="216"/>
      <c r="I639" s="216"/>
      <c r="J639" s="216"/>
      <c r="K639" s="216"/>
      <c r="L639" s="216"/>
      <c r="M639" s="216"/>
      <c r="N639" s="216"/>
      <c r="O639" s="216"/>
      <c r="P639" s="216"/>
      <c r="Q639" s="216"/>
      <c r="R639" s="216"/>
      <c r="S639" s="216"/>
      <c r="T639" s="216"/>
      <c r="U639" s="216"/>
      <c r="V639" s="216"/>
    </row>
    <row r="640" spans="1:22" x14ac:dyDescent="0.15">
      <c r="A640" s="216"/>
      <c r="B640" s="216"/>
      <c r="C640" s="216"/>
      <c r="D640" s="216"/>
      <c r="E640" s="216"/>
      <c r="F640" s="216"/>
      <c r="G640" s="216"/>
      <c r="H640" s="216"/>
      <c r="I640" s="216"/>
      <c r="J640" s="216"/>
      <c r="K640" s="216"/>
      <c r="L640" s="216"/>
      <c r="M640" s="216"/>
      <c r="N640" s="216"/>
      <c r="O640" s="216"/>
      <c r="P640" s="216"/>
      <c r="Q640" s="216"/>
      <c r="R640" s="216"/>
      <c r="S640" s="216"/>
      <c r="T640" s="216"/>
      <c r="U640" s="216"/>
      <c r="V640" s="216"/>
    </row>
    <row r="641" spans="1:22" x14ac:dyDescent="0.15">
      <c r="A641" s="216"/>
      <c r="B641" s="216"/>
      <c r="C641" s="216"/>
      <c r="D641" s="216"/>
      <c r="E641" s="216"/>
      <c r="F641" s="216"/>
      <c r="G641" s="216"/>
      <c r="H641" s="216"/>
      <c r="I641" s="216"/>
      <c r="J641" s="216"/>
      <c r="K641" s="216"/>
      <c r="L641" s="216"/>
      <c r="M641" s="216"/>
      <c r="N641" s="216"/>
      <c r="O641" s="216"/>
      <c r="P641" s="216"/>
      <c r="Q641" s="216"/>
      <c r="R641" s="216"/>
      <c r="S641" s="216"/>
      <c r="T641" s="216"/>
      <c r="U641" s="216"/>
      <c r="V641" s="216"/>
    </row>
    <row r="642" spans="1:22" x14ac:dyDescent="0.15">
      <c r="A642" s="216"/>
      <c r="B642" s="216"/>
      <c r="C642" s="216"/>
      <c r="D642" s="216"/>
      <c r="E642" s="216"/>
      <c r="F642" s="216"/>
      <c r="G642" s="216"/>
      <c r="H642" s="216"/>
      <c r="I642" s="216"/>
      <c r="J642" s="216"/>
      <c r="K642" s="216"/>
      <c r="L642" s="216"/>
      <c r="M642" s="216"/>
      <c r="N642" s="216"/>
      <c r="O642" s="216"/>
      <c r="P642" s="216"/>
      <c r="Q642" s="216"/>
      <c r="R642" s="216"/>
      <c r="S642" s="216"/>
      <c r="T642" s="216"/>
      <c r="U642" s="216"/>
      <c r="V642" s="216"/>
    </row>
    <row r="643" spans="1:22" x14ac:dyDescent="0.15">
      <c r="A643" s="216"/>
      <c r="B643" s="216"/>
      <c r="C643" s="216"/>
      <c r="D643" s="216"/>
      <c r="E643" s="216"/>
      <c r="F643" s="216"/>
      <c r="G643" s="216"/>
      <c r="H643" s="216"/>
      <c r="I643" s="216"/>
      <c r="J643" s="216"/>
      <c r="K643" s="216"/>
      <c r="L643" s="216"/>
      <c r="M643" s="216"/>
      <c r="N643" s="216"/>
      <c r="O643" s="216"/>
      <c r="P643" s="216"/>
      <c r="Q643" s="216"/>
      <c r="R643" s="216"/>
      <c r="S643" s="216"/>
      <c r="T643" s="216"/>
      <c r="U643" s="216"/>
      <c r="V643" s="216"/>
    </row>
    <row r="644" spans="1:22" x14ac:dyDescent="0.15">
      <c r="A644" s="216"/>
      <c r="B644" s="216"/>
      <c r="C644" s="216"/>
      <c r="D644" s="216"/>
      <c r="E644" s="216"/>
      <c r="F644" s="216"/>
      <c r="G644" s="216"/>
      <c r="H644" s="216"/>
      <c r="I644" s="216"/>
      <c r="J644" s="216"/>
      <c r="K644" s="216"/>
      <c r="L644" s="216"/>
      <c r="M644" s="216"/>
      <c r="N644" s="216"/>
      <c r="O644" s="216"/>
      <c r="P644" s="216"/>
      <c r="Q644" s="216"/>
      <c r="R644" s="216"/>
      <c r="S644" s="216"/>
      <c r="T644" s="216"/>
      <c r="U644" s="216"/>
      <c r="V644" s="216"/>
    </row>
    <row r="645" spans="1:22" x14ac:dyDescent="0.15">
      <c r="A645" s="216"/>
      <c r="B645" s="216"/>
      <c r="C645" s="216"/>
      <c r="D645" s="216"/>
      <c r="E645" s="216"/>
      <c r="F645" s="216"/>
      <c r="G645" s="216"/>
      <c r="H645" s="216"/>
      <c r="I645" s="216"/>
      <c r="J645" s="216"/>
      <c r="K645" s="216"/>
      <c r="L645" s="216"/>
      <c r="M645" s="216"/>
      <c r="N645" s="216"/>
      <c r="O645" s="216"/>
      <c r="P645" s="216"/>
      <c r="Q645" s="216"/>
      <c r="R645" s="216"/>
      <c r="S645" s="216"/>
      <c r="T645" s="216"/>
      <c r="U645" s="216"/>
      <c r="V645" s="216"/>
    </row>
    <row r="646" spans="1:22" x14ac:dyDescent="0.15">
      <c r="A646" s="216"/>
      <c r="B646" s="216"/>
      <c r="C646" s="216"/>
      <c r="D646" s="216"/>
      <c r="E646" s="216"/>
      <c r="F646" s="216"/>
      <c r="G646" s="216"/>
      <c r="H646" s="216"/>
      <c r="I646" s="216"/>
      <c r="J646" s="216"/>
      <c r="K646" s="216"/>
      <c r="L646" s="216"/>
      <c r="M646" s="216"/>
      <c r="N646" s="216"/>
      <c r="O646" s="216"/>
      <c r="P646" s="216"/>
      <c r="Q646" s="216"/>
      <c r="R646" s="216"/>
      <c r="S646" s="216"/>
      <c r="T646" s="216"/>
      <c r="U646" s="216"/>
      <c r="V646" s="216"/>
    </row>
    <row r="647" spans="1:22" x14ac:dyDescent="0.15">
      <c r="A647" s="216"/>
      <c r="B647" s="216"/>
      <c r="C647" s="216"/>
      <c r="D647" s="216"/>
      <c r="E647" s="216"/>
      <c r="F647" s="216"/>
      <c r="G647" s="216"/>
      <c r="H647" s="216"/>
      <c r="I647" s="216"/>
      <c r="J647" s="216"/>
      <c r="K647" s="216"/>
      <c r="L647" s="216"/>
      <c r="M647" s="216"/>
      <c r="N647" s="216"/>
      <c r="O647" s="216"/>
      <c r="P647" s="216"/>
      <c r="Q647" s="216"/>
      <c r="R647" s="216"/>
      <c r="S647" s="216"/>
      <c r="T647" s="216"/>
      <c r="U647" s="216"/>
      <c r="V647" s="216"/>
    </row>
    <row r="648" spans="1:22" x14ac:dyDescent="0.15">
      <c r="A648" s="216"/>
      <c r="B648" s="216"/>
      <c r="C648" s="216"/>
      <c r="D648" s="216"/>
      <c r="E648" s="216"/>
      <c r="F648" s="216"/>
      <c r="G648" s="216"/>
      <c r="H648" s="216"/>
      <c r="I648" s="216"/>
      <c r="J648" s="216"/>
      <c r="K648" s="216"/>
      <c r="L648" s="216"/>
      <c r="M648" s="216"/>
      <c r="N648" s="216"/>
      <c r="O648" s="216"/>
      <c r="P648" s="216"/>
      <c r="Q648" s="216"/>
      <c r="R648" s="216"/>
      <c r="S648" s="216"/>
      <c r="T648" s="216"/>
      <c r="U648" s="216"/>
      <c r="V648" s="216"/>
    </row>
    <row r="649" spans="1:22" x14ac:dyDescent="0.15">
      <c r="A649" s="216"/>
      <c r="B649" s="216"/>
      <c r="C649" s="216"/>
      <c r="D649" s="216"/>
      <c r="E649" s="216"/>
      <c r="F649" s="216"/>
      <c r="G649" s="216"/>
      <c r="H649" s="216"/>
      <c r="I649" s="216"/>
      <c r="J649" s="216"/>
      <c r="K649" s="216"/>
      <c r="L649" s="216"/>
      <c r="M649" s="216"/>
      <c r="N649" s="216"/>
      <c r="O649" s="216"/>
      <c r="P649" s="216"/>
      <c r="Q649" s="216"/>
      <c r="R649" s="216"/>
      <c r="S649" s="216"/>
      <c r="T649" s="216"/>
      <c r="U649" s="216"/>
      <c r="V649" s="216"/>
    </row>
    <row r="650" spans="1:22" x14ac:dyDescent="0.15">
      <c r="A650" s="216"/>
      <c r="B650" s="216"/>
      <c r="C650" s="216"/>
      <c r="D650" s="216"/>
      <c r="E650" s="216"/>
      <c r="F650" s="216"/>
      <c r="G650" s="216"/>
      <c r="H650" s="216"/>
      <c r="I650" s="216"/>
      <c r="J650" s="216"/>
      <c r="K650" s="216"/>
      <c r="L650" s="216"/>
      <c r="M650" s="216"/>
      <c r="N650" s="216"/>
      <c r="O650" s="216"/>
      <c r="P650" s="216"/>
      <c r="Q650" s="216"/>
      <c r="R650" s="216"/>
      <c r="S650" s="216"/>
      <c r="T650" s="216"/>
      <c r="U650" s="216"/>
      <c r="V650" s="216"/>
    </row>
    <row r="651" spans="1:22" x14ac:dyDescent="0.15">
      <c r="A651" s="216"/>
      <c r="B651" s="216"/>
      <c r="C651" s="216"/>
      <c r="D651" s="216"/>
      <c r="E651" s="216"/>
      <c r="F651" s="216"/>
      <c r="G651" s="216"/>
      <c r="H651" s="216"/>
      <c r="I651" s="216"/>
      <c r="J651" s="216"/>
      <c r="K651" s="216"/>
      <c r="L651" s="216"/>
      <c r="M651" s="216"/>
      <c r="N651" s="216"/>
      <c r="O651" s="216"/>
      <c r="P651" s="216"/>
      <c r="Q651" s="216"/>
      <c r="R651" s="216"/>
      <c r="S651" s="216"/>
      <c r="T651" s="216"/>
      <c r="U651" s="216"/>
      <c r="V651" s="216"/>
    </row>
    <row r="652" spans="1:22" x14ac:dyDescent="0.15">
      <c r="A652" s="216"/>
      <c r="B652" s="216"/>
      <c r="C652" s="216"/>
      <c r="D652" s="216"/>
      <c r="E652" s="216"/>
      <c r="F652" s="216"/>
      <c r="G652" s="216"/>
      <c r="H652" s="216"/>
      <c r="I652" s="216"/>
      <c r="J652" s="216"/>
      <c r="K652" s="216"/>
      <c r="L652" s="216"/>
      <c r="M652" s="216"/>
      <c r="N652" s="216"/>
      <c r="O652" s="216"/>
      <c r="P652" s="216"/>
      <c r="Q652" s="216"/>
      <c r="R652" s="216"/>
      <c r="S652" s="216"/>
      <c r="T652" s="216"/>
      <c r="U652" s="216"/>
      <c r="V652" s="216"/>
    </row>
  </sheetData>
  <sheetProtection password="CF43" sheet="1" objects="1" scenarios="1"/>
  <mergeCells count="123">
    <mergeCell ref="B22:H22"/>
    <mergeCell ref="I22:P22"/>
    <mergeCell ref="Q22:S22"/>
    <mergeCell ref="Q15:S15"/>
    <mergeCell ref="B16:H16"/>
    <mergeCell ref="I16:P16"/>
    <mergeCell ref="Q16:S16"/>
    <mergeCell ref="B17:H17"/>
    <mergeCell ref="I17:P17"/>
    <mergeCell ref="Q17:S17"/>
    <mergeCell ref="B20:H20"/>
    <mergeCell ref="I20:P20"/>
    <mergeCell ref="Q20:S20"/>
    <mergeCell ref="B21:H21"/>
    <mergeCell ref="I21:P21"/>
    <mergeCell ref="Q21:S21"/>
    <mergeCell ref="B18:H18"/>
    <mergeCell ref="I18:P18"/>
    <mergeCell ref="Q18:S18"/>
    <mergeCell ref="B19:H19"/>
    <mergeCell ref="I19:P19"/>
    <mergeCell ref="Q19:S19"/>
    <mergeCell ref="B45:H45"/>
    <mergeCell ref="I45:P45"/>
    <mergeCell ref="Q45:S45"/>
    <mergeCell ref="Q5:S5"/>
    <mergeCell ref="Q6:S6"/>
    <mergeCell ref="B14:H14"/>
    <mergeCell ref="I14:P14"/>
    <mergeCell ref="Q14:S14"/>
    <mergeCell ref="B15:H15"/>
    <mergeCell ref="I15:P15"/>
    <mergeCell ref="B43:H43"/>
    <mergeCell ref="I43:P43"/>
    <mergeCell ref="Q43:S43"/>
    <mergeCell ref="B44:H44"/>
    <mergeCell ref="I44:P44"/>
    <mergeCell ref="Q44:S44"/>
    <mergeCell ref="B41:H41"/>
    <mergeCell ref="I41:P41"/>
    <mergeCell ref="Q41:S41"/>
    <mergeCell ref="B42:H42"/>
    <mergeCell ref="I42:P42"/>
    <mergeCell ref="Q42:S42"/>
    <mergeCell ref="B39:H39"/>
    <mergeCell ref="I39:P39"/>
    <mergeCell ref="Q39:S39"/>
    <mergeCell ref="B40:H40"/>
    <mergeCell ref="I40:P40"/>
    <mergeCell ref="Q40:S40"/>
    <mergeCell ref="B36:H36"/>
    <mergeCell ref="I36:P36"/>
    <mergeCell ref="Q36:S36"/>
    <mergeCell ref="B38:H38"/>
    <mergeCell ref="I38:P38"/>
    <mergeCell ref="Q38:S38"/>
    <mergeCell ref="B37:H37"/>
    <mergeCell ref="I37:P37"/>
    <mergeCell ref="Q37:S37"/>
    <mergeCell ref="B33:H33"/>
    <mergeCell ref="I33:P33"/>
    <mergeCell ref="Q33:S33"/>
    <mergeCell ref="B35:H35"/>
    <mergeCell ref="I35:P35"/>
    <mergeCell ref="Q35:S35"/>
    <mergeCell ref="B34:H34"/>
    <mergeCell ref="I34:P34"/>
    <mergeCell ref="Q34:S34"/>
    <mergeCell ref="B31:H31"/>
    <mergeCell ref="I31:P31"/>
    <mergeCell ref="Q31:S31"/>
    <mergeCell ref="B32:H32"/>
    <mergeCell ref="I32:P32"/>
    <mergeCell ref="Q32:S32"/>
    <mergeCell ref="B29:H29"/>
    <mergeCell ref="I29:P29"/>
    <mergeCell ref="Q29:S29"/>
    <mergeCell ref="B30:H30"/>
    <mergeCell ref="I30:P30"/>
    <mergeCell ref="Q30:S30"/>
    <mergeCell ref="B27:H27"/>
    <mergeCell ref="I27:P27"/>
    <mergeCell ref="Q27:S27"/>
    <mergeCell ref="B28:H28"/>
    <mergeCell ref="I28:P28"/>
    <mergeCell ref="Q28:S28"/>
    <mergeCell ref="B23:H23"/>
    <mergeCell ref="I23:P23"/>
    <mergeCell ref="Q23:S23"/>
    <mergeCell ref="B26:H26"/>
    <mergeCell ref="I26:P26"/>
    <mergeCell ref="Q26:S26"/>
    <mergeCell ref="B25:H25"/>
    <mergeCell ref="I25:P25"/>
    <mergeCell ref="Q25:S25"/>
    <mergeCell ref="B24:H24"/>
    <mergeCell ref="I24:P24"/>
    <mergeCell ref="Q24:S24"/>
    <mergeCell ref="B12:H12"/>
    <mergeCell ref="I12:P12"/>
    <mergeCell ref="Q12:S12"/>
    <mergeCell ref="B13:H13"/>
    <mergeCell ref="I13:P13"/>
    <mergeCell ref="Q13:S13"/>
    <mergeCell ref="B10:H10"/>
    <mergeCell ref="I10:P10"/>
    <mergeCell ref="Q10:S10"/>
    <mergeCell ref="B11:H11"/>
    <mergeCell ref="I11:P11"/>
    <mergeCell ref="Q11:S11"/>
    <mergeCell ref="B8:H8"/>
    <mergeCell ref="I8:P8"/>
    <mergeCell ref="Q8:S8"/>
    <mergeCell ref="B9:H9"/>
    <mergeCell ref="I9:P9"/>
    <mergeCell ref="Q9:S9"/>
    <mergeCell ref="A1:N1"/>
    <mergeCell ref="B5:H6"/>
    <mergeCell ref="I5:P6"/>
    <mergeCell ref="B7:H7"/>
    <mergeCell ref="I7:P7"/>
    <mergeCell ref="Q7:S7"/>
    <mergeCell ref="B2:U2"/>
  </mergeCells>
  <phoneticPr fontId="27"/>
  <conditionalFormatting sqref="Q30:Q33 Q35:Q36 Q38:Q45">
    <cfRule type="cellIs" dxfId="25" priority="27" operator="equal">
      <formula>""</formula>
    </cfRule>
    <cfRule type="cellIs" dxfId="24" priority="28" operator="equal">
      <formula>""</formula>
    </cfRule>
  </conditionalFormatting>
  <conditionalFormatting sqref="Q10:Q13 Q18:Q21 Q23 Q26:Q28">
    <cfRule type="cellIs" dxfId="23" priority="25" operator="equal">
      <formula>""</formula>
    </cfRule>
    <cfRule type="cellIs" dxfId="22" priority="26" operator="equal">
      <formula>""</formula>
    </cfRule>
  </conditionalFormatting>
  <conditionalFormatting sqref="Q29">
    <cfRule type="cellIs" dxfId="21" priority="23" operator="equal">
      <formula>""</formula>
    </cfRule>
    <cfRule type="cellIs" dxfId="20" priority="24" operator="equal">
      <formula>""</formula>
    </cfRule>
  </conditionalFormatting>
  <conditionalFormatting sqref="Q9">
    <cfRule type="cellIs" dxfId="19" priority="21" operator="equal">
      <formula>""</formula>
    </cfRule>
    <cfRule type="cellIs" dxfId="18" priority="22" operator="equal">
      <formula>""</formula>
    </cfRule>
  </conditionalFormatting>
  <conditionalFormatting sqref="Q8">
    <cfRule type="cellIs" dxfId="17" priority="19" operator="equal">
      <formula>""</formula>
    </cfRule>
    <cfRule type="cellIs" dxfId="16" priority="20" operator="equal">
      <formula>""</formula>
    </cfRule>
  </conditionalFormatting>
  <conditionalFormatting sqref="Q14:Q15">
    <cfRule type="cellIs" dxfId="15" priority="17" operator="equal">
      <formula>""</formula>
    </cfRule>
    <cfRule type="cellIs" dxfId="14" priority="18" operator="equal">
      <formula>""</formula>
    </cfRule>
  </conditionalFormatting>
  <conditionalFormatting sqref="Q16:Q17">
    <cfRule type="cellIs" dxfId="13" priority="15" operator="equal">
      <formula>""</formula>
    </cfRule>
    <cfRule type="cellIs" dxfId="12" priority="16" operator="equal">
      <formula>""</formula>
    </cfRule>
  </conditionalFormatting>
  <conditionalFormatting sqref="Q22">
    <cfRule type="cellIs" dxfId="11" priority="13" operator="equal">
      <formula>""</formula>
    </cfRule>
    <cfRule type="cellIs" dxfId="10" priority="14" operator="equal">
      <formula>""</formula>
    </cfRule>
  </conditionalFormatting>
  <conditionalFormatting sqref="Q34">
    <cfRule type="cellIs" dxfId="9" priority="9" operator="equal">
      <formula>""</formula>
    </cfRule>
    <cfRule type="cellIs" dxfId="8" priority="10" operator="equal">
      <formula>""</formula>
    </cfRule>
  </conditionalFormatting>
  <conditionalFormatting sqref="Q37">
    <cfRule type="cellIs" dxfId="7" priority="7" operator="equal">
      <formula>""</formula>
    </cfRule>
    <cfRule type="cellIs" dxfId="6" priority="8" operator="equal">
      <formula>""</formula>
    </cfRule>
  </conditionalFormatting>
  <conditionalFormatting sqref="Q7">
    <cfRule type="cellIs" dxfId="5" priority="5" operator="equal">
      <formula>""</formula>
    </cfRule>
    <cfRule type="cellIs" dxfId="4" priority="6" operator="equal">
      <formula>""</formula>
    </cfRule>
  </conditionalFormatting>
  <conditionalFormatting sqref="Q25">
    <cfRule type="cellIs" dxfId="3" priority="3" operator="equal">
      <formula>""</formula>
    </cfRule>
    <cfRule type="cellIs" dxfId="2" priority="4" operator="equal">
      <formula>""</formula>
    </cfRule>
  </conditionalFormatting>
  <conditionalFormatting sqref="Q24">
    <cfRule type="cellIs" dxfId="1" priority="1" operator="equal">
      <formula>""</formula>
    </cfRule>
    <cfRule type="cellIs" dxfId="0" priority="2" operator="equal">
      <formula>""</formula>
    </cfRule>
  </conditionalFormatting>
  <dataValidations count="5">
    <dataValidation type="list" allowBlank="1" showInputMessage="1" showErrorMessage="1" sqref="Q27:S27" xr:uid="{00000000-0002-0000-0100-000000000000}">
      <formula1>"1,2,3,4"</formula1>
    </dataValidation>
    <dataValidation type="list" allowBlank="1" showInputMessage="1" showErrorMessage="1" sqref="Q9" xr:uid="{00000000-0002-0000-0100-000001000000}">
      <formula1>"1,2,3,4,5"</formula1>
    </dataValidation>
    <dataValidation type="list" allowBlank="1" showInputMessage="1" showErrorMessage="1" sqref="Q19 Q10:Q15 Q31:S31 Q35:S35" xr:uid="{00000000-0002-0000-0100-000002000000}">
      <formula1>"1,2,3"</formula1>
    </dataValidation>
    <dataValidation type="list" allowBlank="1" showInputMessage="1" showErrorMessage="1" sqref="Q16:Q18 Q8 Q28:Q30 Q36:Q45 Q32:Q34 Q20:Q26" xr:uid="{00000000-0002-0000-0100-000003000000}">
      <formula1>"1,2"</formula1>
    </dataValidation>
    <dataValidation type="list" allowBlank="1" showInputMessage="1" showErrorMessage="1" sqref="Q7:S7" xr:uid="{00000000-0002-0000-0100-000004000000}">
      <formula1>"1,2,3,4,5,6"</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rgb="FFFFFF00"/>
  </sheetPr>
  <dimension ref="A1:O1019"/>
  <sheetViews>
    <sheetView topLeftCell="A988" workbookViewId="0">
      <selection activeCell="B442" sqref="B442"/>
    </sheetView>
  </sheetViews>
  <sheetFormatPr defaultColWidth="9" defaultRowHeight="13.5" x14ac:dyDescent="0.15"/>
  <cols>
    <col min="1" max="1" width="39.5" customWidth="1"/>
    <col min="2" max="2" width="11.375" style="368" bestFit="1" customWidth="1"/>
    <col min="3" max="16384" width="9" style="22"/>
  </cols>
  <sheetData>
    <row r="1" spans="1:4" ht="24" customHeight="1" x14ac:dyDescent="0.15">
      <c r="A1" s="16" t="s">
        <v>277</v>
      </c>
      <c r="B1" s="367" t="str">
        <f>調査票!D41</f>
        <v/>
      </c>
    </row>
    <row r="2" spans="1:4" ht="24" customHeight="1" x14ac:dyDescent="0.15">
      <c r="A2" s="16" t="s">
        <v>302</v>
      </c>
      <c r="B2" s="368">
        <f>調査票!D43</f>
        <v>0</v>
      </c>
    </row>
    <row r="3" spans="1:4" ht="24" customHeight="1" x14ac:dyDescent="0.15">
      <c r="A3" s="16" t="s">
        <v>303</v>
      </c>
      <c r="B3" s="368">
        <f>調査票!D44</f>
        <v>0</v>
      </c>
    </row>
    <row r="4" spans="1:4" ht="24" customHeight="1" x14ac:dyDescent="0.15">
      <c r="A4" s="5" t="s">
        <v>300</v>
      </c>
      <c r="B4" s="368">
        <f>調査票!D46</f>
        <v>0</v>
      </c>
    </row>
    <row r="5" spans="1:4" ht="24" customHeight="1" x14ac:dyDescent="0.15">
      <c r="A5" s="5" t="s">
        <v>405</v>
      </c>
      <c r="B5" s="368">
        <f>調査票!E48</f>
        <v>0</v>
      </c>
    </row>
    <row r="6" spans="1:4" ht="24" customHeight="1" x14ac:dyDescent="0.15">
      <c r="A6" s="5" t="s">
        <v>1258</v>
      </c>
      <c r="B6" s="368" t="str">
        <f>調査票!D50</f>
        <v>4級地</v>
      </c>
    </row>
    <row r="7" spans="1:4" ht="24" customHeight="1" x14ac:dyDescent="0.15">
      <c r="A7" s="176" t="s">
        <v>1259</v>
      </c>
      <c r="B7" s="368" t="str">
        <f>調査票!F50</f>
        <v>相模原市</v>
      </c>
    </row>
    <row r="8" spans="1:4" ht="24" customHeight="1" x14ac:dyDescent="0.15">
      <c r="A8" s="176" t="s">
        <v>1260</v>
      </c>
      <c r="B8" s="368">
        <f>調査票!I50</f>
        <v>0</v>
      </c>
    </row>
    <row r="9" spans="1:4" ht="24" customHeight="1" x14ac:dyDescent="0.15">
      <c r="A9" s="5" t="s">
        <v>301</v>
      </c>
      <c r="B9" s="368">
        <f>調査票!D52</f>
        <v>0</v>
      </c>
    </row>
    <row r="10" spans="1:4" ht="24" customHeight="1" x14ac:dyDescent="0.15">
      <c r="A10" s="175" t="s">
        <v>784</v>
      </c>
      <c r="B10" s="368">
        <f>調査票!D53</f>
        <v>0</v>
      </c>
      <c r="D10" s="22" t="s">
        <v>1615</v>
      </c>
    </row>
    <row r="11" spans="1:4" ht="24" customHeight="1" x14ac:dyDescent="0.15">
      <c r="A11" s="5" t="s">
        <v>785</v>
      </c>
      <c r="B11" s="369">
        <f>調査票!B59</f>
        <v>0</v>
      </c>
    </row>
    <row r="12" spans="1:4" ht="24" customHeight="1" x14ac:dyDescent="0.15">
      <c r="A12" s="17" t="s">
        <v>436</v>
      </c>
      <c r="B12" s="369">
        <f>調査票!F59</f>
        <v>0</v>
      </c>
    </row>
    <row r="13" spans="1:4" ht="24" customHeight="1" x14ac:dyDescent="0.15">
      <c r="A13" s="17" t="s">
        <v>437</v>
      </c>
      <c r="B13" s="369" t="str">
        <f>調査票!J59</f>
        <v/>
      </c>
    </row>
    <row r="14" spans="1:4" ht="24" customHeight="1" x14ac:dyDescent="0.15">
      <c r="A14" s="5" t="s">
        <v>786</v>
      </c>
      <c r="B14" s="369">
        <f>調査票!B68</f>
        <v>0</v>
      </c>
    </row>
    <row r="15" spans="1:4" ht="24" customHeight="1" x14ac:dyDescent="0.15">
      <c r="A15" s="23" t="s">
        <v>433</v>
      </c>
      <c r="B15" s="369">
        <f>調査票!G68</f>
        <v>0</v>
      </c>
    </row>
    <row r="16" spans="1:4" ht="24" customHeight="1" x14ac:dyDescent="0.15">
      <c r="A16" s="23" t="s">
        <v>434</v>
      </c>
      <c r="B16" s="369">
        <f>調査票!L68</f>
        <v>0</v>
      </c>
    </row>
    <row r="17" spans="1:2" ht="24" customHeight="1" x14ac:dyDescent="0.15">
      <c r="A17" s="23" t="s">
        <v>435</v>
      </c>
      <c r="B17" s="369" t="str">
        <f>調査票!R68</f>
        <v/>
      </c>
    </row>
    <row r="18" spans="1:2" ht="24" customHeight="1" x14ac:dyDescent="0.15">
      <c r="A18" s="5" t="s">
        <v>787</v>
      </c>
      <c r="B18" s="369" t="str">
        <f>調査票!B76</f>
        <v/>
      </c>
    </row>
    <row r="19" spans="1:2" ht="24" customHeight="1" x14ac:dyDescent="0.15">
      <c r="A19" s="23" t="s">
        <v>411</v>
      </c>
      <c r="B19" s="369">
        <f>調査票!E76</f>
        <v>0</v>
      </c>
    </row>
    <row r="20" spans="1:2" ht="24" customHeight="1" x14ac:dyDescent="0.15">
      <c r="A20" s="23" t="s">
        <v>412</v>
      </c>
      <c r="B20" s="369">
        <f>調査票!G76</f>
        <v>0</v>
      </c>
    </row>
    <row r="21" spans="1:2" ht="24" customHeight="1" x14ac:dyDescent="0.15">
      <c r="A21" s="23" t="s">
        <v>413</v>
      </c>
      <c r="B21" s="369">
        <f>調査票!I76</f>
        <v>0</v>
      </c>
    </row>
    <row r="22" spans="1:2" ht="24" customHeight="1" x14ac:dyDescent="0.15">
      <c r="A22" s="23" t="s">
        <v>414</v>
      </c>
      <c r="B22" s="369">
        <f>調査票!K76</f>
        <v>0</v>
      </c>
    </row>
    <row r="23" spans="1:2" ht="24" customHeight="1" x14ac:dyDescent="0.15">
      <c r="A23" s="23" t="s">
        <v>415</v>
      </c>
      <c r="B23" s="369">
        <f>調査票!M76</f>
        <v>0</v>
      </c>
    </row>
    <row r="24" spans="1:2" ht="24" customHeight="1" x14ac:dyDescent="0.15">
      <c r="A24" s="24" t="s">
        <v>416</v>
      </c>
      <c r="B24" s="370" t="str">
        <f>調査票!O76</f>
        <v/>
      </c>
    </row>
    <row r="25" spans="1:2" ht="24" customHeight="1" x14ac:dyDescent="0.15">
      <c r="A25" s="6" t="s">
        <v>788</v>
      </c>
      <c r="B25" s="369" t="str">
        <f>調査票!B81</f>
        <v/>
      </c>
    </row>
    <row r="26" spans="1:2" ht="24" customHeight="1" x14ac:dyDescent="0.15">
      <c r="A26" s="24" t="s">
        <v>304</v>
      </c>
      <c r="B26" s="369">
        <f>調査票!E81</f>
        <v>0</v>
      </c>
    </row>
    <row r="27" spans="1:2" ht="24" customHeight="1" x14ac:dyDescent="0.15">
      <c r="A27" s="24" t="s">
        <v>417</v>
      </c>
      <c r="B27" s="369">
        <f>調査票!G81</f>
        <v>0</v>
      </c>
    </row>
    <row r="28" spans="1:2" ht="24" customHeight="1" x14ac:dyDescent="0.15">
      <c r="A28" s="24" t="s">
        <v>418</v>
      </c>
      <c r="B28" s="369">
        <f>調査票!I81</f>
        <v>0</v>
      </c>
    </row>
    <row r="29" spans="1:2" ht="24" customHeight="1" x14ac:dyDescent="0.15">
      <c r="A29" s="24" t="s">
        <v>419</v>
      </c>
      <c r="B29" s="369">
        <f>調査票!K81</f>
        <v>0</v>
      </c>
    </row>
    <row r="30" spans="1:2" ht="24" customHeight="1" x14ac:dyDescent="0.15">
      <c r="A30" s="24" t="s">
        <v>305</v>
      </c>
      <c r="B30" s="369">
        <f>調査票!M81</f>
        <v>0</v>
      </c>
    </row>
    <row r="31" spans="1:2" ht="24" customHeight="1" x14ac:dyDescent="0.15">
      <c r="A31" s="24" t="s">
        <v>306</v>
      </c>
      <c r="B31" s="369">
        <f>調査票!O81</f>
        <v>0</v>
      </c>
    </row>
    <row r="32" spans="1:2" ht="24" customHeight="1" x14ac:dyDescent="0.15">
      <c r="A32" s="24" t="s">
        <v>307</v>
      </c>
      <c r="B32" s="369">
        <f>調査票!Q81</f>
        <v>0</v>
      </c>
    </row>
    <row r="33" spans="1:2" ht="24" customHeight="1" x14ac:dyDescent="0.15">
      <c r="A33" s="24" t="s">
        <v>308</v>
      </c>
      <c r="B33" s="369">
        <f>調査票!S81</f>
        <v>0</v>
      </c>
    </row>
    <row r="34" spans="1:2" ht="24" customHeight="1" x14ac:dyDescent="0.15">
      <c r="A34" s="6" t="s">
        <v>789</v>
      </c>
      <c r="B34" s="369" t="str">
        <f>調査票!B86</f>
        <v/>
      </c>
    </row>
    <row r="35" spans="1:2" ht="24" customHeight="1" x14ac:dyDescent="0.15">
      <c r="A35" s="23" t="s">
        <v>420</v>
      </c>
      <c r="B35" s="369">
        <f>調査票!E86</f>
        <v>0</v>
      </c>
    </row>
    <row r="36" spans="1:2" ht="24" customHeight="1" x14ac:dyDescent="0.15">
      <c r="A36" s="23" t="s">
        <v>421</v>
      </c>
      <c r="B36" s="369">
        <f>調査票!H86</f>
        <v>0</v>
      </c>
    </row>
    <row r="37" spans="1:2" ht="24" customHeight="1" x14ac:dyDescent="0.15">
      <c r="A37" s="23" t="s">
        <v>422</v>
      </c>
      <c r="B37" s="369">
        <f>調査票!K86</f>
        <v>0</v>
      </c>
    </row>
    <row r="38" spans="1:2" ht="24" customHeight="1" x14ac:dyDescent="0.15">
      <c r="A38" s="23" t="s">
        <v>423</v>
      </c>
      <c r="B38" s="369">
        <f>調査票!N86</f>
        <v>0</v>
      </c>
    </row>
    <row r="39" spans="1:2" ht="24" customHeight="1" x14ac:dyDescent="0.15">
      <c r="A39" s="23" t="s">
        <v>424</v>
      </c>
      <c r="B39" s="369">
        <f>調査票!Q86</f>
        <v>0</v>
      </c>
    </row>
    <row r="40" spans="1:2" ht="24" customHeight="1" x14ac:dyDescent="0.15">
      <c r="A40" s="177" t="s">
        <v>1619</v>
      </c>
      <c r="B40" s="369" t="str">
        <f>調査票!B93</f>
        <v/>
      </c>
    </row>
    <row r="41" spans="1:2" ht="24" customHeight="1" x14ac:dyDescent="0.15">
      <c r="A41" s="176" t="s">
        <v>790</v>
      </c>
      <c r="B41" s="369">
        <f>調査票!E93</f>
        <v>0</v>
      </c>
    </row>
    <row r="42" spans="1:2" ht="24" customHeight="1" x14ac:dyDescent="0.15">
      <c r="A42" s="176" t="s">
        <v>791</v>
      </c>
      <c r="B42" s="369">
        <f>調査票!H93</f>
        <v>0</v>
      </c>
    </row>
    <row r="43" spans="1:2" ht="24" customHeight="1" x14ac:dyDescent="0.15">
      <c r="A43" s="176" t="s">
        <v>792</v>
      </c>
      <c r="B43" s="369">
        <f>調査票!K93</f>
        <v>0</v>
      </c>
    </row>
    <row r="44" spans="1:2" ht="24" customHeight="1" x14ac:dyDescent="0.15">
      <c r="A44" s="176" t="s">
        <v>793</v>
      </c>
      <c r="B44" s="369">
        <f>調査票!N93</f>
        <v>0</v>
      </c>
    </row>
    <row r="45" spans="1:2" ht="24" customHeight="1" x14ac:dyDescent="0.15">
      <c r="A45" s="177" t="s">
        <v>794</v>
      </c>
      <c r="B45" s="369">
        <f>調査票!L100</f>
        <v>0</v>
      </c>
    </row>
    <row r="46" spans="1:2" ht="24" customHeight="1" x14ac:dyDescent="0.15">
      <c r="A46" s="176" t="s">
        <v>795</v>
      </c>
      <c r="B46" s="369">
        <f>調査票!L101</f>
        <v>0</v>
      </c>
    </row>
    <row r="47" spans="1:2" ht="24" customHeight="1" x14ac:dyDescent="0.15">
      <c r="A47" s="176" t="s">
        <v>796</v>
      </c>
      <c r="B47" s="369">
        <f>調査票!L102</f>
        <v>0</v>
      </c>
    </row>
    <row r="48" spans="1:2" ht="24" customHeight="1" x14ac:dyDescent="0.15">
      <c r="A48" s="176" t="s">
        <v>797</v>
      </c>
      <c r="B48" s="369">
        <f>調査票!L103</f>
        <v>0</v>
      </c>
    </row>
    <row r="49" spans="1:4" ht="24" customHeight="1" x14ac:dyDescent="0.15">
      <c r="A49" s="474" t="s">
        <v>1875</v>
      </c>
      <c r="B49" s="369">
        <f>調査票!L104</f>
        <v>0</v>
      </c>
      <c r="D49" s="22" t="s">
        <v>1874</v>
      </c>
    </row>
    <row r="50" spans="1:4" ht="24" customHeight="1" x14ac:dyDescent="0.15">
      <c r="A50" s="177" t="s">
        <v>1516</v>
      </c>
      <c r="B50" s="369">
        <f>調査票!B109</f>
        <v>0</v>
      </c>
      <c r="D50" s="22" t="s">
        <v>1457</v>
      </c>
    </row>
    <row r="51" spans="1:4" ht="24" customHeight="1" x14ac:dyDescent="0.15">
      <c r="A51" s="176" t="s">
        <v>1456</v>
      </c>
      <c r="B51" s="369">
        <f>調査票!D109</f>
        <v>0</v>
      </c>
    </row>
    <row r="52" spans="1:4" ht="24" customHeight="1" x14ac:dyDescent="0.15">
      <c r="A52" s="176" t="s">
        <v>798</v>
      </c>
      <c r="B52" s="369">
        <f>調査票!F109</f>
        <v>0</v>
      </c>
    </row>
    <row r="53" spans="1:4" ht="24" customHeight="1" x14ac:dyDescent="0.15">
      <c r="A53" s="176" t="s">
        <v>799</v>
      </c>
      <c r="B53" s="369">
        <f>調査票!H109</f>
        <v>0</v>
      </c>
    </row>
    <row r="54" spans="1:4" ht="24" customHeight="1" x14ac:dyDescent="0.15">
      <c r="A54" s="176" t="s">
        <v>800</v>
      </c>
      <c r="B54" s="369">
        <f>調査票!J109</f>
        <v>0</v>
      </c>
    </row>
    <row r="55" spans="1:4" ht="24" customHeight="1" x14ac:dyDescent="0.15">
      <c r="A55" s="176" t="s">
        <v>1262</v>
      </c>
      <c r="B55" s="369" t="str">
        <f>調査票!L109</f>
        <v/>
      </c>
    </row>
    <row r="56" spans="1:4" ht="24" customHeight="1" x14ac:dyDescent="0.15">
      <c r="A56" s="176" t="s">
        <v>801</v>
      </c>
      <c r="B56" s="369">
        <f>調査票!I112</f>
        <v>0</v>
      </c>
      <c r="D56" s="22" t="s">
        <v>1620</v>
      </c>
    </row>
    <row r="57" spans="1:4" ht="24" customHeight="1" x14ac:dyDescent="0.15">
      <c r="A57" s="176" t="s">
        <v>802</v>
      </c>
      <c r="B57" s="369">
        <f>調査票!I113</f>
        <v>0</v>
      </c>
      <c r="D57" s="22" t="s">
        <v>1620</v>
      </c>
    </row>
    <row r="58" spans="1:4" ht="24" customHeight="1" x14ac:dyDescent="0.15">
      <c r="A58" s="176" t="s">
        <v>803</v>
      </c>
      <c r="B58" s="369">
        <f>調査票!I114</f>
        <v>0</v>
      </c>
      <c r="D58" s="22" t="s">
        <v>1620</v>
      </c>
    </row>
    <row r="59" spans="1:4" ht="24" customHeight="1" x14ac:dyDescent="0.15">
      <c r="A59" s="5" t="s">
        <v>804</v>
      </c>
      <c r="B59" s="368">
        <f>調査票!L118</f>
        <v>0</v>
      </c>
      <c r="D59" s="22" t="s">
        <v>1620</v>
      </c>
    </row>
    <row r="60" spans="1:4" ht="24" customHeight="1" x14ac:dyDescent="0.15">
      <c r="A60" s="23" t="s">
        <v>425</v>
      </c>
      <c r="B60" s="368">
        <f>調査票!H123</f>
        <v>0</v>
      </c>
      <c r="D60" s="22" t="s">
        <v>1620</v>
      </c>
    </row>
    <row r="61" spans="1:4" ht="24" customHeight="1" x14ac:dyDescent="0.15">
      <c r="A61" s="23" t="s">
        <v>426</v>
      </c>
      <c r="B61" s="369">
        <f>調査票!L123</f>
        <v>0</v>
      </c>
      <c r="D61" s="22" t="s">
        <v>1620</v>
      </c>
    </row>
    <row r="62" spans="1:4" ht="24" customHeight="1" x14ac:dyDescent="0.15">
      <c r="A62" s="23" t="s">
        <v>427</v>
      </c>
      <c r="B62" s="368">
        <f>調査票!H124</f>
        <v>0</v>
      </c>
      <c r="D62" s="22" t="s">
        <v>1620</v>
      </c>
    </row>
    <row r="63" spans="1:4" ht="24" customHeight="1" x14ac:dyDescent="0.15">
      <c r="A63" s="23" t="s">
        <v>428</v>
      </c>
      <c r="B63" s="369">
        <f>調査票!L124</f>
        <v>0</v>
      </c>
      <c r="D63" s="22" t="s">
        <v>1620</v>
      </c>
    </row>
    <row r="64" spans="1:4" ht="24" customHeight="1" x14ac:dyDescent="0.15">
      <c r="A64" s="23" t="s">
        <v>429</v>
      </c>
      <c r="B64" s="368">
        <f>調査票!H125</f>
        <v>0</v>
      </c>
      <c r="D64" s="22" t="s">
        <v>1620</v>
      </c>
    </row>
    <row r="65" spans="1:4" ht="24" customHeight="1" x14ac:dyDescent="0.15">
      <c r="A65" s="23" t="s">
        <v>430</v>
      </c>
      <c r="B65" s="369">
        <f>調査票!L125</f>
        <v>0</v>
      </c>
      <c r="D65" s="22" t="s">
        <v>1620</v>
      </c>
    </row>
    <row r="66" spans="1:4" ht="24" customHeight="1" x14ac:dyDescent="0.15">
      <c r="A66" s="23" t="s">
        <v>431</v>
      </c>
      <c r="B66" s="368">
        <f>調査票!H126</f>
        <v>0</v>
      </c>
      <c r="D66" s="22" t="s">
        <v>1620</v>
      </c>
    </row>
    <row r="67" spans="1:4" ht="24" customHeight="1" x14ac:dyDescent="0.15">
      <c r="A67" s="23" t="s">
        <v>432</v>
      </c>
      <c r="B67" s="369">
        <f>調査票!L126</f>
        <v>0</v>
      </c>
      <c r="D67" s="22" t="s">
        <v>1620</v>
      </c>
    </row>
    <row r="68" spans="1:4" ht="24" customHeight="1" x14ac:dyDescent="0.15">
      <c r="A68" s="5" t="s">
        <v>806</v>
      </c>
      <c r="B68" s="369">
        <f>調査票!H135</f>
        <v>0</v>
      </c>
    </row>
    <row r="69" spans="1:4" ht="24" customHeight="1" x14ac:dyDescent="0.15">
      <c r="A69" s="23" t="s">
        <v>438</v>
      </c>
      <c r="B69" s="369">
        <f>調査票!H136</f>
        <v>0</v>
      </c>
    </row>
    <row r="70" spans="1:4" ht="24" customHeight="1" x14ac:dyDescent="0.15">
      <c r="A70" s="23" t="s">
        <v>439</v>
      </c>
      <c r="B70" s="369">
        <f>調査票!H137</f>
        <v>0</v>
      </c>
    </row>
    <row r="71" spans="1:4" ht="24" customHeight="1" x14ac:dyDescent="0.15">
      <c r="A71" s="23" t="s">
        <v>440</v>
      </c>
      <c r="B71" s="369">
        <f>調査票!H138</f>
        <v>0</v>
      </c>
    </row>
    <row r="72" spans="1:4" ht="24" customHeight="1" x14ac:dyDescent="0.15">
      <c r="A72" s="23" t="s">
        <v>441</v>
      </c>
      <c r="B72" s="369">
        <f>調査票!H139</f>
        <v>0</v>
      </c>
    </row>
    <row r="73" spans="1:4" ht="24" customHeight="1" x14ac:dyDescent="0.15">
      <c r="A73" s="23" t="s">
        <v>442</v>
      </c>
      <c r="B73" s="369">
        <f>調査票!H140</f>
        <v>0</v>
      </c>
    </row>
    <row r="74" spans="1:4" ht="24" customHeight="1" x14ac:dyDescent="0.15">
      <c r="A74" s="475" t="s">
        <v>1877</v>
      </c>
      <c r="B74" s="369">
        <f>調査票!H146</f>
        <v>0</v>
      </c>
      <c r="D74" s="22" t="s">
        <v>1876</v>
      </c>
    </row>
    <row r="75" spans="1:4" ht="24" customHeight="1" x14ac:dyDescent="0.15">
      <c r="A75" s="475" t="s">
        <v>1880</v>
      </c>
      <c r="B75" s="369">
        <f>調査票!K146</f>
        <v>0</v>
      </c>
      <c r="D75" s="22" t="s">
        <v>1876</v>
      </c>
    </row>
    <row r="76" spans="1:4" ht="24" customHeight="1" x14ac:dyDescent="0.15">
      <c r="A76" s="475" t="s">
        <v>1879</v>
      </c>
      <c r="B76" s="369">
        <f>調査票!N146</f>
        <v>0</v>
      </c>
      <c r="D76" s="22" t="s">
        <v>1876</v>
      </c>
    </row>
    <row r="77" spans="1:4" ht="24" customHeight="1" x14ac:dyDescent="0.15">
      <c r="A77" s="475" t="s">
        <v>1878</v>
      </c>
      <c r="B77" s="369">
        <f>調査票!Q146</f>
        <v>0</v>
      </c>
      <c r="D77" s="22" t="s">
        <v>1876</v>
      </c>
    </row>
    <row r="78" spans="1:4" ht="24" customHeight="1" x14ac:dyDescent="0.15">
      <c r="A78" s="23" t="s">
        <v>443</v>
      </c>
      <c r="B78" s="368" t="e">
        <f>調査票!#REF!</f>
        <v>#REF!</v>
      </c>
      <c r="D78" s="22" t="s">
        <v>1930</v>
      </c>
    </row>
    <row r="79" spans="1:4" ht="24" customHeight="1" x14ac:dyDescent="0.15">
      <c r="A79" s="23" t="s">
        <v>444</v>
      </c>
      <c r="B79" s="369" t="e">
        <f>調査票!#REF!</f>
        <v>#REF!</v>
      </c>
      <c r="D79" s="22" t="s">
        <v>1930</v>
      </c>
    </row>
    <row r="80" spans="1:4" ht="24" customHeight="1" x14ac:dyDescent="0.15">
      <c r="A80" s="23" t="s">
        <v>445</v>
      </c>
      <c r="B80" s="369" t="e">
        <f>調査票!#REF!</f>
        <v>#REF!</v>
      </c>
      <c r="D80" s="22" t="s">
        <v>1930</v>
      </c>
    </row>
    <row r="81" spans="1:4" ht="24" customHeight="1" x14ac:dyDescent="0.15">
      <c r="A81" s="23" t="s">
        <v>446</v>
      </c>
      <c r="B81" s="369" t="e">
        <f>調査票!#REF!</f>
        <v>#REF!</v>
      </c>
      <c r="D81" s="22" t="s">
        <v>1930</v>
      </c>
    </row>
    <row r="82" spans="1:4" ht="24" customHeight="1" x14ac:dyDescent="0.15">
      <c r="A82" s="23" t="s">
        <v>447</v>
      </c>
      <c r="B82" s="368" t="e">
        <f>調査票!#REF!</f>
        <v>#REF!</v>
      </c>
      <c r="D82" s="22" t="s">
        <v>1930</v>
      </c>
    </row>
    <row r="83" spans="1:4" ht="24" customHeight="1" x14ac:dyDescent="0.15">
      <c r="A83" s="23" t="s">
        <v>448</v>
      </c>
      <c r="B83" s="369" t="e">
        <f>調査票!#REF!</f>
        <v>#REF!</v>
      </c>
      <c r="D83" s="22" t="s">
        <v>1930</v>
      </c>
    </row>
    <row r="84" spans="1:4" ht="24" customHeight="1" x14ac:dyDescent="0.15">
      <c r="A84" s="23" t="s">
        <v>449</v>
      </c>
      <c r="B84" s="369" t="e">
        <f>調査票!#REF!</f>
        <v>#REF!</v>
      </c>
      <c r="D84" s="22" t="s">
        <v>1930</v>
      </c>
    </row>
    <row r="85" spans="1:4" ht="24" customHeight="1" x14ac:dyDescent="0.15">
      <c r="A85" s="23" t="s">
        <v>450</v>
      </c>
      <c r="B85" s="369" t="e">
        <f>調査票!#REF!</f>
        <v>#REF!</v>
      </c>
      <c r="D85" s="22" t="s">
        <v>1930</v>
      </c>
    </row>
    <row r="86" spans="1:4" ht="24" customHeight="1" x14ac:dyDescent="0.15">
      <c r="A86" s="23" t="s">
        <v>451</v>
      </c>
      <c r="B86" s="368" t="e">
        <f>調査票!#REF!</f>
        <v>#REF!</v>
      </c>
      <c r="D86" s="22" t="s">
        <v>1930</v>
      </c>
    </row>
    <row r="87" spans="1:4" ht="24" customHeight="1" x14ac:dyDescent="0.15">
      <c r="A87" s="23" t="s">
        <v>452</v>
      </c>
      <c r="B87" s="369" t="e">
        <f>調査票!#REF!</f>
        <v>#REF!</v>
      </c>
      <c r="D87" s="22" t="s">
        <v>1930</v>
      </c>
    </row>
    <row r="88" spans="1:4" ht="24" customHeight="1" x14ac:dyDescent="0.15">
      <c r="A88" s="23" t="s">
        <v>453</v>
      </c>
      <c r="B88" s="369" t="e">
        <f>調査票!#REF!</f>
        <v>#REF!</v>
      </c>
      <c r="D88" s="22" t="s">
        <v>1930</v>
      </c>
    </row>
    <row r="89" spans="1:4" ht="24" customHeight="1" x14ac:dyDescent="0.15">
      <c r="A89" s="23" t="s">
        <v>454</v>
      </c>
      <c r="B89" s="369" t="e">
        <f>調査票!#REF!</f>
        <v>#REF!</v>
      </c>
      <c r="D89" s="22" t="s">
        <v>1930</v>
      </c>
    </row>
    <row r="90" spans="1:4" ht="24" customHeight="1" x14ac:dyDescent="0.15">
      <c r="A90" s="5" t="s">
        <v>1621</v>
      </c>
      <c r="B90" s="368">
        <f>調査票!Q154</f>
        <v>0</v>
      </c>
    </row>
    <row r="91" spans="1:4" ht="24" customHeight="1" x14ac:dyDescent="0.15">
      <c r="A91" s="23" t="s">
        <v>1622</v>
      </c>
      <c r="B91" s="368">
        <f>調査票!Q155</f>
        <v>0</v>
      </c>
    </row>
    <row r="92" spans="1:4" ht="24" customHeight="1" x14ac:dyDescent="0.15">
      <c r="A92" s="23" t="s">
        <v>1623</v>
      </c>
      <c r="B92" s="368">
        <f>調査票!Q156</f>
        <v>0</v>
      </c>
    </row>
    <row r="93" spans="1:4" ht="24" customHeight="1" x14ac:dyDescent="0.15">
      <c r="A93" s="23" t="s">
        <v>1624</v>
      </c>
      <c r="B93" s="368">
        <f>調査票!Q157</f>
        <v>0</v>
      </c>
    </row>
    <row r="94" spans="1:4" ht="24" customHeight="1" x14ac:dyDescent="0.15">
      <c r="A94" s="23" t="s">
        <v>1625</v>
      </c>
      <c r="B94" s="368">
        <f>調査票!Q158</f>
        <v>0</v>
      </c>
    </row>
    <row r="95" spans="1:4" ht="24" customHeight="1" x14ac:dyDescent="0.15">
      <c r="A95" s="23" t="s">
        <v>1626</v>
      </c>
      <c r="B95" s="368">
        <f>調査票!Q159</f>
        <v>0</v>
      </c>
    </row>
    <row r="96" spans="1:4" ht="24" customHeight="1" x14ac:dyDescent="0.15">
      <c r="A96" s="23" t="s">
        <v>1627</v>
      </c>
      <c r="B96" s="368">
        <f>調査票!Q160</f>
        <v>0</v>
      </c>
    </row>
    <row r="97" spans="1:4" ht="24" customHeight="1" x14ac:dyDescent="0.15">
      <c r="A97" s="176" t="s">
        <v>1647</v>
      </c>
      <c r="B97" s="368">
        <f>調査票!Q161</f>
        <v>0</v>
      </c>
      <c r="D97" s="22" t="s">
        <v>1874</v>
      </c>
    </row>
    <row r="98" spans="1:4" ht="24" customHeight="1" x14ac:dyDescent="0.15">
      <c r="A98" s="176" t="s">
        <v>1648</v>
      </c>
      <c r="B98" s="368">
        <f>調査票!Q162</f>
        <v>0</v>
      </c>
      <c r="D98" s="22" t="s">
        <v>1874</v>
      </c>
    </row>
    <row r="99" spans="1:4" ht="24" customHeight="1" x14ac:dyDescent="0.15">
      <c r="A99" s="176" t="s">
        <v>1649</v>
      </c>
      <c r="B99" s="368">
        <f>調査票!Q163</f>
        <v>0</v>
      </c>
      <c r="D99" s="22" t="s">
        <v>1874</v>
      </c>
    </row>
    <row r="100" spans="1:4" ht="24" customHeight="1" x14ac:dyDescent="0.15">
      <c r="A100" s="176" t="s">
        <v>1650</v>
      </c>
      <c r="B100" s="368">
        <f>調査票!Q164</f>
        <v>0</v>
      </c>
      <c r="D100" s="22" t="s">
        <v>1874</v>
      </c>
    </row>
    <row r="101" spans="1:4" ht="24" customHeight="1" x14ac:dyDescent="0.15">
      <c r="A101" s="23" t="s">
        <v>1628</v>
      </c>
      <c r="B101" s="368">
        <f>調査票!Q165</f>
        <v>0</v>
      </c>
    </row>
    <row r="102" spans="1:4" ht="24" customHeight="1" x14ac:dyDescent="0.15">
      <c r="A102" s="23" t="s">
        <v>1629</v>
      </c>
      <c r="B102" s="368">
        <f>調査票!Q166</f>
        <v>0</v>
      </c>
    </row>
    <row r="103" spans="1:4" ht="24" customHeight="1" x14ac:dyDescent="0.15">
      <c r="A103" s="23" t="s">
        <v>1630</v>
      </c>
      <c r="B103" s="368">
        <f>調査票!Q167</f>
        <v>0</v>
      </c>
    </row>
    <row r="104" spans="1:4" ht="24" customHeight="1" x14ac:dyDescent="0.15">
      <c r="A104" s="23" t="s">
        <v>1631</v>
      </c>
      <c r="B104" s="368">
        <f>調査票!Q168</f>
        <v>0</v>
      </c>
    </row>
    <row r="105" spans="1:4" ht="24" customHeight="1" x14ac:dyDescent="0.15">
      <c r="A105" s="176" t="s">
        <v>1651</v>
      </c>
      <c r="B105" s="368">
        <f>調査票!Q169</f>
        <v>0</v>
      </c>
      <c r="D105" s="22" t="s">
        <v>1874</v>
      </c>
    </row>
    <row r="106" spans="1:4" ht="24" customHeight="1" x14ac:dyDescent="0.15">
      <c r="A106" s="23" t="s">
        <v>1632</v>
      </c>
      <c r="B106" s="368">
        <f>調査票!Q170</f>
        <v>0</v>
      </c>
    </row>
    <row r="107" spans="1:4" ht="24" customHeight="1" x14ac:dyDescent="0.15">
      <c r="A107" s="176" t="s">
        <v>1658</v>
      </c>
      <c r="B107" s="368">
        <f>調査票!Q171</f>
        <v>0</v>
      </c>
      <c r="D107" s="22" t="s">
        <v>1874</v>
      </c>
    </row>
    <row r="108" spans="1:4" ht="24" customHeight="1" x14ac:dyDescent="0.15">
      <c r="A108" s="176" t="s">
        <v>1659</v>
      </c>
      <c r="B108" s="368">
        <f>調査票!Q172</f>
        <v>0</v>
      </c>
      <c r="D108" s="22" t="s">
        <v>1874</v>
      </c>
    </row>
    <row r="109" spans="1:4" ht="24" customHeight="1" x14ac:dyDescent="0.15">
      <c r="A109" s="23" t="s">
        <v>1882</v>
      </c>
      <c r="B109" s="368">
        <f>調査票!Q173</f>
        <v>0</v>
      </c>
    </row>
    <row r="110" spans="1:4" ht="24" customHeight="1" x14ac:dyDescent="0.15">
      <c r="A110" s="23" t="s">
        <v>1883</v>
      </c>
      <c r="B110" s="368">
        <f>調査票!Q174</f>
        <v>0</v>
      </c>
    </row>
    <row r="111" spans="1:4" ht="24" customHeight="1" x14ac:dyDescent="0.15">
      <c r="A111" s="176" t="s">
        <v>1654</v>
      </c>
      <c r="B111" s="368">
        <f>調査票!Q175</f>
        <v>0</v>
      </c>
      <c r="D111" s="22" t="s">
        <v>1881</v>
      </c>
    </row>
    <row r="112" spans="1:4" ht="24" customHeight="1" x14ac:dyDescent="0.15">
      <c r="A112" s="176" t="s">
        <v>1655</v>
      </c>
      <c r="B112" s="368">
        <f>調査票!Q176</f>
        <v>0</v>
      </c>
      <c r="D112" s="22" t="s">
        <v>1881</v>
      </c>
    </row>
    <row r="113" spans="1:4" ht="24" customHeight="1" x14ac:dyDescent="0.15">
      <c r="A113" s="23" t="s">
        <v>1633</v>
      </c>
      <c r="B113" s="368">
        <f>調査票!Q177</f>
        <v>0</v>
      </c>
    </row>
    <row r="114" spans="1:4" ht="24" customHeight="1" x14ac:dyDescent="0.15">
      <c r="A114" s="23" t="s">
        <v>1634</v>
      </c>
      <c r="B114" s="368">
        <f>調査票!Q178</f>
        <v>0</v>
      </c>
    </row>
    <row r="115" spans="1:4" ht="24" customHeight="1" x14ac:dyDescent="0.15">
      <c r="A115" s="23" t="s">
        <v>1635</v>
      </c>
      <c r="B115" s="368">
        <f>調査票!Q179</f>
        <v>0</v>
      </c>
    </row>
    <row r="116" spans="1:4" ht="24" customHeight="1" x14ac:dyDescent="0.15">
      <c r="A116" s="23" t="s">
        <v>1636</v>
      </c>
      <c r="B116" s="368">
        <f>調査票!Q180</f>
        <v>0</v>
      </c>
    </row>
    <row r="117" spans="1:4" ht="24" customHeight="1" x14ac:dyDescent="0.15">
      <c r="A117" s="176" t="s">
        <v>1656</v>
      </c>
      <c r="B117" s="368">
        <f>調査票!Q181</f>
        <v>0</v>
      </c>
      <c r="D117" s="22" t="s">
        <v>1874</v>
      </c>
    </row>
    <row r="118" spans="1:4" ht="24" customHeight="1" x14ac:dyDescent="0.15">
      <c r="A118" s="23" t="s">
        <v>1637</v>
      </c>
      <c r="B118" s="368">
        <f>調査票!Q182</f>
        <v>0</v>
      </c>
    </row>
    <row r="119" spans="1:4" ht="24" customHeight="1" x14ac:dyDescent="0.15">
      <c r="A119" s="23" t="s">
        <v>1638</v>
      </c>
      <c r="B119" s="368">
        <f>調査票!Q183</f>
        <v>0</v>
      </c>
    </row>
    <row r="120" spans="1:4" ht="24" customHeight="1" x14ac:dyDescent="0.15">
      <c r="A120" s="176" t="s">
        <v>1657</v>
      </c>
      <c r="B120" s="368">
        <f>調査票!Q184</f>
        <v>0</v>
      </c>
      <c r="D120" s="22" t="s">
        <v>1874</v>
      </c>
    </row>
    <row r="121" spans="1:4" ht="24" customHeight="1" x14ac:dyDescent="0.15">
      <c r="A121" s="23" t="s">
        <v>1639</v>
      </c>
      <c r="B121" s="368">
        <f>調査票!Q185</f>
        <v>0</v>
      </c>
    </row>
    <row r="122" spans="1:4" ht="24" customHeight="1" x14ac:dyDescent="0.15">
      <c r="A122" s="23" t="s">
        <v>1640</v>
      </c>
      <c r="B122" s="368">
        <f>調査票!Q186</f>
        <v>0</v>
      </c>
    </row>
    <row r="123" spans="1:4" ht="24" customHeight="1" x14ac:dyDescent="0.15">
      <c r="A123" s="23" t="s">
        <v>1641</v>
      </c>
      <c r="B123" s="368">
        <f>調査票!Q187</f>
        <v>0</v>
      </c>
    </row>
    <row r="124" spans="1:4" ht="24" customHeight="1" x14ac:dyDescent="0.15">
      <c r="A124" s="23" t="s">
        <v>1642</v>
      </c>
      <c r="B124" s="368">
        <f>調査票!Q188</f>
        <v>0</v>
      </c>
    </row>
    <row r="125" spans="1:4" ht="24" customHeight="1" x14ac:dyDescent="0.15">
      <c r="A125" s="23" t="s">
        <v>1643</v>
      </c>
      <c r="B125" s="368">
        <f>調査票!Q189</f>
        <v>0</v>
      </c>
    </row>
    <row r="126" spans="1:4" ht="24" customHeight="1" x14ac:dyDescent="0.15">
      <c r="A126" s="23" t="s">
        <v>1644</v>
      </c>
      <c r="B126" s="368">
        <f>調査票!Q190</f>
        <v>0</v>
      </c>
    </row>
    <row r="127" spans="1:4" ht="24" customHeight="1" x14ac:dyDescent="0.15">
      <c r="A127" s="23" t="s">
        <v>1645</v>
      </c>
      <c r="B127" s="368">
        <f>調査票!Q191</f>
        <v>0</v>
      </c>
    </row>
    <row r="128" spans="1:4" ht="24" customHeight="1" x14ac:dyDescent="0.15">
      <c r="A128" s="23" t="s">
        <v>1646</v>
      </c>
      <c r="B128" s="368">
        <f>調査票!Q192</f>
        <v>0</v>
      </c>
    </row>
    <row r="129" spans="1:4" ht="24" customHeight="1" x14ac:dyDescent="0.15">
      <c r="A129" s="476" t="s">
        <v>1884</v>
      </c>
      <c r="B129" s="368">
        <f>調査票!L197</f>
        <v>0</v>
      </c>
      <c r="D129" s="22" t="s">
        <v>1888</v>
      </c>
    </row>
    <row r="130" spans="1:4" ht="24" customHeight="1" x14ac:dyDescent="0.15">
      <c r="A130" s="474" t="s">
        <v>1885</v>
      </c>
      <c r="B130" s="368">
        <f>調査票!L200</f>
        <v>0</v>
      </c>
      <c r="D130" s="22" t="s">
        <v>1888</v>
      </c>
    </row>
    <row r="131" spans="1:4" ht="24" customHeight="1" x14ac:dyDescent="0.15">
      <c r="A131" s="474" t="s">
        <v>1886</v>
      </c>
      <c r="B131" s="368">
        <f>調査票!L201</f>
        <v>0</v>
      </c>
      <c r="D131" s="22" t="s">
        <v>1888</v>
      </c>
    </row>
    <row r="132" spans="1:4" ht="24" customHeight="1" x14ac:dyDescent="0.15">
      <c r="A132" s="474" t="s">
        <v>1887</v>
      </c>
      <c r="B132" s="369">
        <f>調査票!L202</f>
        <v>0</v>
      </c>
      <c r="D132" s="22" t="s">
        <v>1888</v>
      </c>
    </row>
    <row r="133" spans="1:4" ht="24" customHeight="1" x14ac:dyDescent="0.15">
      <c r="A133" s="474" t="s">
        <v>1889</v>
      </c>
      <c r="B133" s="369">
        <f>調査票!S205</f>
        <v>0</v>
      </c>
      <c r="D133" s="22" t="s">
        <v>1888</v>
      </c>
    </row>
    <row r="134" spans="1:4" ht="24" customHeight="1" x14ac:dyDescent="0.15">
      <c r="A134" s="474" t="s">
        <v>1890</v>
      </c>
      <c r="B134" s="369">
        <f>調査票!S206</f>
        <v>0</v>
      </c>
      <c r="D134" s="22" t="s">
        <v>1888</v>
      </c>
    </row>
    <row r="135" spans="1:4" ht="24" customHeight="1" x14ac:dyDescent="0.15">
      <c r="A135" s="474" t="s">
        <v>1891</v>
      </c>
      <c r="B135" s="369">
        <f>調査票!S207</f>
        <v>0</v>
      </c>
      <c r="D135" s="22" t="s">
        <v>1888</v>
      </c>
    </row>
    <row r="136" spans="1:4" ht="24" customHeight="1" x14ac:dyDescent="0.15">
      <c r="A136" s="474" t="s">
        <v>1892</v>
      </c>
      <c r="B136" s="369">
        <f>調査票!G208</f>
        <v>0</v>
      </c>
      <c r="D136" s="22" t="s">
        <v>1888</v>
      </c>
    </row>
    <row r="137" spans="1:4" ht="24" customHeight="1" x14ac:dyDescent="0.15">
      <c r="A137" s="474" t="s">
        <v>1893</v>
      </c>
      <c r="B137" s="369">
        <f>調査票!Q211</f>
        <v>0</v>
      </c>
      <c r="D137" s="22" t="s">
        <v>1888</v>
      </c>
    </row>
    <row r="138" spans="1:4" ht="24" customHeight="1" x14ac:dyDescent="0.15">
      <c r="A138" s="474" t="s">
        <v>1955</v>
      </c>
      <c r="B138" s="369" t="str">
        <f>調査票!Q212</f>
        <v/>
      </c>
      <c r="D138" s="22" t="s">
        <v>1888</v>
      </c>
    </row>
    <row r="139" spans="1:4" ht="24" customHeight="1" x14ac:dyDescent="0.15">
      <c r="A139" s="474" t="s">
        <v>1894</v>
      </c>
      <c r="B139" s="369">
        <f>調査票!Q213</f>
        <v>0</v>
      </c>
      <c r="D139" s="22" t="s">
        <v>1888</v>
      </c>
    </row>
    <row r="140" spans="1:4" ht="24" customHeight="1" x14ac:dyDescent="0.15">
      <c r="A140" s="474" t="s">
        <v>1895</v>
      </c>
      <c r="B140" s="369">
        <f>調査票!Q214</f>
        <v>0</v>
      </c>
      <c r="D140" s="22" t="s">
        <v>1888</v>
      </c>
    </row>
    <row r="141" spans="1:4" ht="24" customHeight="1" x14ac:dyDescent="0.15">
      <c r="A141" s="474" t="s">
        <v>1896</v>
      </c>
      <c r="B141" s="369">
        <f>調査票!Q215</f>
        <v>0</v>
      </c>
      <c r="D141" s="22" t="s">
        <v>1888</v>
      </c>
    </row>
    <row r="142" spans="1:4" ht="24" customHeight="1" x14ac:dyDescent="0.15">
      <c r="A142" s="474" t="s">
        <v>1897</v>
      </c>
      <c r="B142" s="369">
        <f>調査票!Q216</f>
        <v>0</v>
      </c>
      <c r="D142" s="22" t="s">
        <v>1888</v>
      </c>
    </row>
    <row r="143" spans="1:4" ht="24" customHeight="1" x14ac:dyDescent="0.15">
      <c r="A143" s="474" t="s">
        <v>1898</v>
      </c>
      <c r="B143" s="369">
        <f>調査票!Q217</f>
        <v>0</v>
      </c>
      <c r="D143" s="22" t="s">
        <v>1888</v>
      </c>
    </row>
    <row r="144" spans="1:4" ht="24" customHeight="1" x14ac:dyDescent="0.15">
      <c r="A144" s="474" t="s">
        <v>1899</v>
      </c>
      <c r="B144" s="369">
        <f>調査票!Q218</f>
        <v>0</v>
      </c>
      <c r="D144" s="22" t="s">
        <v>1888</v>
      </c>
    </row>
    <row r="145" spans="1:4" ht="24" customHeight="1" x14ac:dyDescent="0.15">
      <c r="A145" s="474" t="s">
        <v>1900</v>
      </c>
      <c r="B145" s="369">
        <f>調査票!I219</f>
        <v>0</v>
      </c>
      <c r="D145" s="22" t="s">
        <v>1888</v>
      </c>
    </row>
    <row r="146" spans="1:4" ht="24" customHeight="1" x14ac:dyDescent="0.15">
      <c r="A146" s="474" t="s">
        <v>1902</v>
      </c>
      <c r="B146" s="369">
        <f>調査票!M219</f>
        <v>0</v>
      </c>
      <c r="D146" s="22" t="s">
        <v>1888</v>
      </c>
    </row>
    <row r="147" spans="1:4" ht="24" customHeight="1" x14ac:dyDescent="0.15">
      <c r="A147" s="474" t="s">
        <v>1901</v>
      </c>
      <c r="B147" s="369">
        <f>調査票!Q219</f>
        <v>0</v>
      </c>
      <c r="D147" s="22" t="s">
        <v>1888</v>
      </c>
    </row>
    <row r="148" spans="1:4" ht="24" customHeight="1" x14ac:dyDescent="0.15">
      <c r="A148" s="474" t="s">
        <v>1903</v>
      </c>
      <c r="B148" s="369">
        <f>調査票!J220</f>
        <v>0</v>
      </c>
      <c r="D148" s="22" t="s">
        <v>1888</v>
      </c>
    </row>
    <row r="149" spans="1:4" ht="24" customHeight="1" x14ac:dyDescent="0.15">
      <c r="A149" s="177" t="s">
        <v>1310</v>
      </c>
      <c r="B149" s="368" t="e">
        <f>調査票!#REF!</f>
        <v>#REF!</v>
      </c>
      <c r="D149" s="22" t="s">
        <v>1620</v>
      </c>
    </row>
    <row r="150" spans="1:4" ht="24" customHeight="1" x14ac:dyDescent="0.15">
      <c r="A150" s="190" t="s">
        <v>1307</v>
      </c>
      <c r="B150" s="368">
        <f>調査票!L231</f>
        <v>0</v>
      </c>
      <c r="D150" s="22" t="s">
        <v>1620</v>
      </c>
    </row>
    <row r="151" spans="1:4" ht="24" customHeight="1" x14ac:dyDescent="0.15">
      <c r="A151" s="190" t="s">
        <v>1308</v>
      </c>
      <c r="B151" s="368">
        <f>調査票!P231</f>
        <v>0</v>
      </c>
      <c r="D151" s="22" t="s">
        <v>1620</v>
      </c>
    </row>
    <row r="152" spans="1:4" ht="24" customHeight="1" x14ac:dyDescent="0.15">
      <c r="A152" s="190" t="s">
        <v>1309</v>
      </c>
      <c r="B152" s="368">
        <f>調査票!T231</f>
        <v>0</v>
      </c>
      <c r="D152" s="22" t="s">
        <v>1620</v>
      </c>
    </row>
    <row r="153" spans="1:4" ht="24" customHeight="1" x14ac:dyDescent="0.15">
      <c r="A153" s="176" t="s">
        <v>1296</v>
      </c>
      <c r="B153" s="369">
        <f>調査票!I232</f>
        <v>0</v>
      </c>
      <c r="D153" s="22" t="s">
        <v>1620</v>
      </c>
    </row>
    <row r="154" spans="1:4" ht="24" customHeight="1" x14ac:dyDescent="0.15">
      <c r="A154" s="178" t="s">
        <v>1297</v>
      </c>
      <c r="B154" s="368">
        <f>調査票!Q241</f>
        <v>0</v>
      </c>
      <c r="D154" s="22" t="s">
        <v>1615</v>
      </c>
    </row>
    <row r="155" spans="1:4" ht="24" customHeight="1" x14ac:dyDescent="0.15">
      <c r="A155" s="23" t="s">
        <v>455</v>
      </c>
      <c r="B155" s="368">
        <f>調査票!Q243</f>
        <v>0</v>
      </c>
      <c r="D155" s="22" t="s">
        <v>1615</v>
      </c>
    </row>
    <row r="156" spans="1:4" ht="24" customHeight="1" x14ac:dyDescent="0.15">
      <c r="A156" s="23" t="s">
        <v>456</v>
      </c>
      <c r="B156" s="368">
        <f>調査票!Q244</f>
        <v>0</v>
      </c>
      <c r="D156" s="22" t="s">
        <v>1615</v>
      </c>
    </row>
    <row r="157" spans="1:4" ht="24" customHeight="1" x14ac:dyDescent="0.15">
      <c r="A157" s="23" t="s">
        <v>457</v>
      </c>
      <c r="B157" s="368">
        <f>調査票!Q245</f>
        <v>0</v>
      </c>
      <c r="D157" s="22" t="s">
        <v>1615</v>
      </c>
    </row>
    <row r="158" spans="1:4" ht="24" customHeight="1" x14ac:dyDescent="0.15">
      <c r="A158" s="23" t="s">
        <v>309</v>
      </c>
      <c r="B158" s="369">
        <f>調査票!O247</f>
        <v>0</v>
      </c>
      <c r="D158" s="22" t="s">
        <v>1615</v>
      </c>
    </row>
    <row r="159" spans="1:4" ht="24" customHeight="1" x14ac:dyDescent="0.15">
      <c r="A159" s="483" t="s">
        <v>1905</v>
      </c>
      <c r="B159" s="368">
        <f>調査票!H258</f>
        <v>0</v>
      </c>
      <c r="D159" s="22" t="s">
        <v>1615</v>
      </c>
    </row>
    <row r="160" spans="1:4" ht="24" customHeight="1" x14ac:dyDescent="0.15">
      <c r="A160" s="484" t="s">
        <v>455</v>
      </c>
      <c r="B160" s="368">
        <f>調査票!H259</f>
        <v>0</v>
      </c>
      <c r="D160" s="22" t="s">
        <v>1615</v>
      </c>
    </row>
    <row r="161" spans="1:4" ht="24" customHeight="1" x14ac:dyDescent="0.15">
      <c r="A161" s="484" t="s">
        <v>456</v>
      </c>
      <c r="B161" s="368">
        <f>調査票!H260</f>
        <v>0</v>
      </c>
      <c r="D161" s="22" t="s">
        <v>1615</v>
      </c>
    </row>
    <row r="162" spans="1:4" ht="24" customHeight="1" x14ac:dyDescent="0.15">
      <c r="A162" s="484" t="s">
        <v>458</v>
      </c>
      <c r="B162" s="368">
        <f>調査票!H261</f>
        <v>0</v>
      </c>
      <c r="D162" s="22" t="s">
        <v>1615</v>
      </c>
    </row>
    <row r="163" spans="1:4" ht="24" customHeight="1" x14ac:dyDescent="0.15">
      <c r="A163" s="484" t="s">
        <v>459</v>
      </c>
      <c r="B163" s="368">
        <f>調査票!H262</f>
        <v>0</v>
      </c>
      <c r="D163" s="22" t="s">
        <v>1615</v>
      </c>
    </row>
    <row r="164" spans="1:4" ht="24" customHeight="1" x14ac:dyDescent="0.15">
      <c r="A164" s="474" t="s">
        <v>1906</v>
      </c>
      <c r="B164" s="368">
        <f>調査票!H258</f>
        <v>0</v>
      </c>
      <c r="D164" s="22" t="s">
        <v>1904</v>
      </c>
    </row>
    <row r="165" spans="1:4" ht="24" customHeight="1" x14ac:dyDescent="0.15">
      <c r="A165" s="474" t="s">
        <v>1907</v>
      </c>
      <c r="B165" s="368">
        <f>調査票!N261</f>
        <v>0</v>
      </c>
      <c r="D165" s="22" t="s">
        <v>1904</v>
      </c>
    </row>
    <row r="166" spans="1:4" ht="24" customHeight="1" x14ac:dyDescent="0.15">
      <c r="A166" s="474" t="s">
        <v>1908</v>
      </c>
      <c r="B166" s="368">
        <f>調査票!N262</f>
        <v>0</v>
      </c>
      <c r="D166" s="22" t="s">
        <v>1904</v>
      </c>
    </row>
    <row r="167" spans="1:4" ht="24" customHeight="1" x14ac:dyDescent="0.15">
      <c r="A167" s="474" t="s">
        <v>1909</v>
      </c>
      <c r="B167" s="368">
        <f>調査票!N263</f>
        <v>0</v>
      </c>
      <c r="D167" s="22" t="s">
        <v>1904</v>
      </c>
    </row>
    <row r="168" spans="1:4" ht="24" customHeight="1" x14ac:dyDescent="0.15">
      <c r="A168" s="474" t="s">
        <v>1910</v>
      </c>
      <c r="B168" s="368">
        <f>調査票!N264</f>
        <v>0</v>
      </c>
      <c r="D168" s="22" t="s">
        <v>1904</v>
      </c>
    </row>
    <row r="169" spans="1:4" ht="24" customHeight="1" x14ac:dyDescent="0.15">
      <c r="A169" s="474" t="s">
        <v>1911</v>
      </c>
      <c r="B169" s="368">
        <f>調査票!N265</f>
        <v>0</v>
      </c>
      <c r="D169" s="22" t="s">
        <v>1904</v>
      </c>
    </row>
    <row r="170" spans="1:4" ht="24" customHeight="1" x14ac:dyDescent="0.15">
      <c r="A170" s="474" t="s">
        <v>1912</v>
      </c>
      <c r="B170" s="368">
        <f>調査票!N266</f>
        <v>0</v>
      </c>
      <c r="D170" s="22" t="s">
        <v>1904</v>
      </c>
    </row>
    <row r="171" spans="1:4" ht="24" customHeight="1" x14ac:dyDescent="0.15">
      <c r="A171" s="474" t="s">
        <v>1913</v>
      </c>
      <c r="B171" s="368">
        <f>調査票!N267</f>
        <v>0</v>
      </c>
      <c r="D171" s="22" t="s">
        <v>1904</v>
      </c>
    </row>
    <row r="172" spans="1:4" ht="24" customHeight="1" x14ac:dyDescent="0.15">
      <c r="A172" s="474" t="s">
        <v>1914</v>
      </c>
      <c r="B172" s="368">
        <f>調査票!N268</f>
        <v>0</v>
      </c>
      <c r="D172" s="22" t="s">
        <v>1904</v>
      </c>
    </row>
    <row r="173" spans="1:4" ht="24" customHeight="1" x14ac:dyDescent="0.15">
      <c r="A173" s="474" t="s">
        <v>1915</v>
      </c>
      <c r="B173" s="368">
        <f>調査票!N269</f>
        <v>0</v>
      </c>
      <c r="D173" s="22" t="s">
        <v>1904</v>
      </c>
    </row>
    <row r="174" spans="1:4" ht="24" customHeight="1" x14ac:dyDescent="0.15">
      <c r="A174" s="474" t="s">
        <v>1916</v>
      </c>
      <c r="B174" s="368">
        <f>調査票!N270</f>
        <v>0</v>
      </c>
      <c r="D174" s="22" t="s">
        <v>1904</v>
      </c>
    </row>
    <row r="175" spans="1:4" ht="24" customHeight="1" x14ac:dyDescent="0.15">
      <c r="A175" s="474" t="s">
        <v>1917</v>
      </c>
      <c r="B175" s="368">
        <f>調査票!N271</f>
        <v>0</v>
      </c>
      <c r="D175" s="22" t="s">
        <v>1904</v>
      </c>
    </row>
    <row r="176" spans="1:4" ht="24" customHeight="1" x14ac:dyDescent="0.15">
      <c r="A176" s="474" t="s">
        <v>1918</v>
      </c>
      <c r="B176" s="368">
        <f>調査票!N272</f>
        <v>0</v>
      </c>
      <c r="D176" s="22" t="s">
        <v>1904</v>
      </c>
    </row>
    <row r="177" spans="1:4" ht="24" customHeight="1" x14ac:dyDescent="0.15">
      <c r="A177" s="474" t="s">
        <v>1919</v>
      </c>
      <c r="B177" s="368">
        <f>調査票!G273</f>
        <v>0</v>
      </c>
      <c r="D177" s="22" t="s">
        <v>1904</v>
      </c>
    </row>
    <row r="178" spans="1:4" ht="24" customHeight="1" x14ac:dyDescent="0.15">
      <c r="A178" s="6" t="s">
        <v>807</v>
      </c>
      <c r="B178" s="368">
        <f>調査票!A290</f>
        <v>0</v>
      </c>
    </row>
    <row r="179" spans="1:4" ht="24" customHeight="1" x14ac:dyDescent="0.15">
      <c r="A179" s="6" t="s">
        <v>310</v>
      </c>
      <c r="B179" s="368">
        <f>調査票!G292</f>
        <v>0</v>
      </c>
    </row>
    <row r="180" spans="1:4" ht="24" customHeight="1" x14ac:dyDescent="0.15">
      <c r="A180" s="6" t="s">
        <v>278</v>
      </c>
      <c r="B180" s="368">
        <f>調査票!G293</f>
        <v>0</v>
      </c>
    </row>
    <row r="181" spans="1:4" ht="24" customHeight="1" x14ac:dyDescent="0.15">
      <c r="A181" s="6" t="s">
        <v>311</v>
      </c>
      <c r="B181" s="368">
        <f>調査票!G294</f>
        <v>0</v>
      </c>
    </row>
    <row r="182" spans="1:4" ht="24" customHeight="1" x14ac:dyDescent="0.15">
      <c r="A182" s="6" t="s">
        <v>312</v>
      </c>
      <c r="B182" s="368">
        <f>調査票!G295</f>
        <v>0</v>
      </c>
    </row>
    <row r="183" spans="1:4" ht="24" customHeight="1" x14ac:dyDescent="0.15">
      <c r="A183" s="6" t="s">
        <v>313</v>
      </c>
      <c r="B183" s="368">
        <f>調査票!G296</f>
        <v>0</v>
      </c>
    </row>
    <row r="184" spans="1:4" ht="24" customHeight="1" x14ac:dyDescent="0.15">
      <c r="A184" s="6" t="s">
        <v>314</v>
      </c>
      <c r="B184" s="368">
        <f>調査票!G297</f>
        <v>0</v>
      </c>
    </row>
    <row r="185" spans="1:4" ht="24" customHeight="1" x14ac:dyDescent="0.15">
      <c r="A185" s="7" t="s">
        <v>333</v>
      </c>
      <c r="B185" s="368" t="str">
        <f>調査票!G298</f>
        <v/>
      </c>
    </row>
    <row r="186" spans="1:4" ht="24" customHeight="1" x14ac:dyDescent="0.15">
      <c r="A186" s="18" t="s">
        <v>315</v>
      </c>
      <c r="B186" s="368">
        <f>調査票!I292</f>
        <v>0</v>
      </c>
    </row>
    <row r="187" spans="1:4" ht="24" customHeight="1" x14ac:dyDescent="0.15">
      <c r="A187" s="18" t="s">
        <v>278</v>
      </c>
      <c r="B187" s="368">
        <f>調査票!I293</f>
        <v>0</v>
      </c>
    </row>
    <row r="188" spans="1:4" ht="24" customHeight="1" x14ac:dyDescent="0.15">
      <c r="A188" s="18" t="s">
        <v>316</v>
      </c>
      <c r="B188" s="368">
        <f>調査票!I294</f>
        <v>0</v>
      </c>
    </row>
    <row r="189" spans="1:4" ht="24" customHeight="1" x14ac:dyDescent="0.15">
      <c r="A189" s="18" t="s">
        <v>317</v>
      </c>
      <c r="B189" s="368">
        <f>調査票!I295</f>
        <v>0</v>
      </c>
    </row>
    <row r="190" spans="1:4" ht="24" customHeight="1" x14ac:dyDescent="0.15">
      <c r="A190" s="18" t="s">
        <v>318</v>
      </c>
      <c r="B190" s="368">
        <f>調査票!I296</f>
        <v>0</v>
      </c>
    </row>
    <row r="191" spans="1:4" ht="24" customHeight="1" x14ac:dyDescent="0.15">
      <c r="A191" s="18" t="s">
        <v>319</v>
      </c>
      <c r="B191" s="368">
        <f>調査票!I297</f>
        <v>0</v>
      </c>
    </row>
    <row r="192" spans="1:4" ht="24" customHeight="1" x14ac:dyDescent="0.15">
      <c r="A192" s="19" t="s">
        <v>332</v>
      </c>
      <c r="B192" s="368" t="str">
        <f>調査票!I298</f>
        <v/>
      </c>
    </row>
    <row r="193" spans="1:2" ht="24" customHeight="1" x14ac:dyDescent="0.15">
      <c r="A193" s="20" t="s">
        <v>320</v>
      </c>
      <c r="B193" s="368">
        <f>調査票!K292</f>
        <v>0</v>
      </c>
    </row>
    <row r="194" spans="1:2" ht="24" customHeight="1" x14ac:dyDescent="0.15">
      <c r="A194" s="20" t="s">
        <v>279</v>
      </c>
      <c r="B194" s="368">
        <f>調査票!K293</f>
        <v>0</v>
      </c>
    </row>
    <row r="195" spans="1:2" ht="24" customHeight="1" x14ac:dyDescent="0.15">
      <c r="A195" s="20" t="s">
        <v>321</v>
      </c>
      <c r="B195" s="368">
        <f>調査票!K294</f>
        <v>0</v>
      </c>
    </row>
    <row r="196" spans="1:2" ht="24" customHeight="1" x14ac:dyDescent="0.15">
      <c r="A196" s="20" t="s">
        <v>322</v>
      </c>
      <c r="B196" s="368">
        <f>調査票!K295</f>
        <v>0</v>
      </c>
    </row>
    <row r="197" spans="1:2" ht="24" customHeight="1" x14ac:dyDescent="0.15">
      <c r="A197" s="20" t="s">
        <v>323</v>
      </c>
      <c r="B197" s="368">
        <f>調査票!K296</f>
        <v>0</v>
      </c>
    </row>
    <row r="198" spans="1:2" ht="24" customHeight="1" x14ac:dyDescent="0.15">
      <c r="A198" s="20" t="s">
        <v>324</v>
      </c>
      <c r="B198" s="368">
        <f>調査票!K297</f>
        <v>0</v>
      </c>
    </row>
    <row r="199" spans="1:2" ht="24" customHeight="1" x14ac:dyDescent="0.15">
      <c r="A199" s="21" t="s">
        <v>334</v>
      </c>
      <c r="B199" s="368" t="str">
        <f>調査票!K298</f>
        <v/>
      </c>
    </row>
    <row r="200" spans="1:2" ht="24" customHeight="1" x14ac:dyDescent="0.15">
      <c r="A200" s="6" t="s">
        <v>325</v>
      </c>
      <c r="B200" s="368">
        <f>調査票!P292</f>
        <v>0</v>
      </c>
    </row>
    <row r="201" spans="1:2" ht="24" customHeight="1" x14ac:dyDescent="0.15">
      <c r="A201" s="6" t="s">
        <v>278</v>
      </c>
      <c r="B201" s="368">
        <f>調査票!P293</f>
        <v>0</v>
      </c>
    </row>
    <row r="202" spans="1:2" ht="24" customHeight="1" x14ac:dyDescent="0.15">
      <c r="A202" s="6" t="s">
        <v>326</v>
      </c>
      <c r="B202" s="368">
        <f>調査票!P294</f>
        <v>0</v>
      </c>
    </row>
    <row r="203" spans="1:2" ht="24" customHeight="1" x14ac:dyDescent="0.15">
      <c r="A203" s="6" t="s">
        <v>327</v>
      </c>
      <c r="B203" s="368">
        <f>調査票!P295</f>
        <v>0</v>
      </c>
    </row>
    <row r="204" spans="1:2" ht="24" customHeight="1" x14ac:dyDescent="0.15">
      <c r="A204" s="6" t="s">
        <v>328</v>
      </c>
      <c r="B204" s="368">
        <f>調査票!P296</f>
        <v>0</v>
      </c>
    </row>
    <row r="205" spans="1:2" ht="24" customHeight="1" x14ac:dyDescent="0.15">
      <c r="A205" s="6" t="s">
        <v>329</v>
      </c>
      <c r="B205" s="368">
        <f>調査票!P297</f>
        <v>0</v>
      </c>
    </row>
    <row r="206" spans="1:2" ht="24" customHeight="1" x14ac:dyDescent="0.15">
      <c r="A206" s="7" t="s">
        <v>335</v>
      </c>
      <c r="B206" s="368" t="str">
        <f>調査票!P298</f>
        <v/>
      </c>
    </row>
    <row r="207" spans="1:2" ht="24" customHeight="1" x14ac:dyDescent="0.15">
      <c r="A207" s="8" t="s">
        <v>330</v>
      </c>
      <c r="B207" s="368">
        <f>調査票!R292</f>
        <v>0</v>
      </c>
    </row>
    <row r="208" spans="1:2" ht="24" customHeight="1" x14ac:dyDescent="0.15">
      <c r="A208" s="8" t="s">
        <v>279</v>
      </c>
      <c r="B208" s="368">
        <f>調査票!R293</f>
        <v>0</v>
      </c>
    </row>
    <row r="209" spans="1:2" ht="24" customHeight="1" x14ac:dyDescent="0.15">
      <c r="A209" s="8" t="s">
        <v>331</v>
      </c>
      <c r="B209" s="368">
        <f>調査票!R294</f>
        <v>0</v>
      </c>
    </row>
    <row r="210" spans="1:2" ht="24" customHeight="1" x14ac:dyDescent="0.15">
      <c r="A210" s="8" t="s">
        <v>408</v>
      </c>
      <c r="B210" s="368">
        <f>調査票!R295</f>
        <v>0</v>
      </c>
    </row>
    <row r="211" spans="1:2" ht="24" customHeight="1" x14ac:dyDescent="0.15">
      <c r="A211" s="8" t="s">
        <v>406</v>
      </c>
      <c r="B211" s="368">
        <f>調査票!R296</f>
        <v>0</v>
      </c>
    </row>
    <row r="212" spans="1:2" ht="24" customHeight="1" x14ac:dyDescent="0.15">
      <c r="A212" s="8" t="s">
        <v>407</v>
      </c>
      <c r="B212" s="368">
        <f>調査票!R297</f>
        <v>0</v>
      </c>
    </row>
    <row r="213" spans="1:2" ht="24" customHeight="1" x14ac:dyDescent="0.15">
      <c r="A213" s="9" t="s">
        <v>336</v>
      </c>
      <c r="B213" s="368" t="str">
        <f>調査票!R298</f>
        <v/>
      </c>
    </row>
    <row r="214" spans="1:2" ht="24" customHeight="1" x14ac:dyDescent="0.15">
      <c r="A214" s="5" t="s">
        <v>808</v>
      </c>
      <c r="B214" s="369" t="str">
        <f>調査票!G311</f>
        <v/>
      </c>
    </row>
    <row r="215" spans="1:2" ht="24" customHeight="1" x14ac:dyDescent="0.15">
      <c r="A215" s="5" t="s">
        <v>297</v>
      </c>
      <c r="B215" s="369">
        <f>調査票!G312</f>
        <v>0</v>
      </c>
    </row>
    <row r="216" spans="1:2" ht="24" customHeight="1" x14ac:dyDescent="0.15">
      <c r="A216" s="5" t="s">
        <v>298</v>
      </c>
      <c r="B216" s="369">
        <f>調査票!G313</f>
        <v>0</v>
      </c>
    </row>
    <row r="217" spans="1:2" ht="24" customHeight="1" x14ac:dyDescent="0.15">
      <c r="A217" s="5" t="s">
        <v>299</v>
      </c>
      <c r="B217" s="369">
        <f>調査票!G314</f>
        <v>0</v>
      </c>
    </row>
    <row r="218" spans="1:2" ht="24" customHeight="1" x14ac:dyDescent="0.15">
      <c r="A218" s="485" t="s">
        <v>1261</v>
      </c>
      <c r="B218" s="369">
        <f>調査票!G315</f>
        <v>0</v>
      </c>
    </row>
    <row r="219" spans="1:2" ht="24" customHeight="1" x14ac:dyDescent="0.15">
      <c r="A219" s="5" t="s">
        <v>409</v>
      </c>
      <c r="B219" s="369">
        <f>調査票!G316</f>
        <v>0</v>
      </c>
    </row>
    <row r="220" spans="1:2" ht="24" customHeight="1" x14ac:dyDescent="0.15">
      <c r="A220" s="10" t="s">
        <v>809</v>
      </c>
      <c r="B220" s="368">
        <f>調査票!$F$330</f>
        <v>0</v>
      </c>
    </row>
    <row r="221" spans="1:2" ht="24" customHeight="1" x14ac:dyDescent="0.15">
      <c r="A221" s="179" t="s">
        <v>810</v>
      </c>
      <c r="B221" s="368">
        <f>調査票!$F$331</f>
        <v>0</v>
      </c>
    </row>
    <row r="222" spans="1:2" ht="24" customHeight="1" x14ac:dyDescent="0.15">
      <c r="A222" s="179" t="s">
        <v>811</v>
      </c>
      <c r="B222" s="368">
        <f>調査票!$F$332</f>
        <v>0</v>
      </c>
    </row>
    <row r="223" spans="1:2" ht="24" customHeight="1" x14ac:dyDescent="0.15">
      <c r="A223" s="179" t="s">
        <v>812</v>
      </c>
      <c r="B223" s="368">
        <f>調査票!$F$333</f>
        <v>0</v>
      </c>
    </row>
    <row r="224" spans="1:2" ht="24" customHeight="1" x14ac:dyDescent="0.15">
      <c r="A224" s="179" t="s">
        <v>813</v>
      </c>
      <c r="B224" s="368">
        <f>調査票!$F$334</f>
        <v>0</v>
      </c>
    </row>
    <row r="225" spans="1:2" ht="24" customHeight="1" x14ac:dyDescent="0.15">
      <c r="A225" s="179" t="s">
        <v>814</v>
      </c>
      <c r="B225" s="368">
        <f>調査票!$F$335</f>
        <v>0</v>
      </c>
    </row>
    <row r="226" spans="1:2" ht="24" customHeight="1" x14ac:dyDescent="0.15">
      <c r="A226" s="179" t="s">
        <v>815</v>
      </c>
      <c r="B226" s="368" t="str">
        <f>調査票!$F$336</f>
        <v/>
      </c>
    </row>
    <row r="227" spans="1:2" ht="24" customHeight="1" x14ac:dyDescent="0.15">
      <c r="A227" s="179" t="s">
        <v>816</v>
      </c>
      <c r="B227" s="368">
        <f>調査票!$H$330</f>
        <v>0</v>
      </c>
    </row>
    <row r="228" spans="1:2" ht="24" customHeight="1" x14ac:dyDescent="0.15">
      <c r="A228" s="11" t="s">
        <v>817</v>
      </c>
      <c r="B228" s="368">
        <f>調査票!$H$331</f>
        <v>0</v>
      </c>
    </row>
    <row r="229" spans="1:2" ht="24" customHeight="1" x14ac:dyDescent="0.15">
      <c r="A229" s="11" t="s">
        <v>818</v>
      </c>
      <c r="B229" s="368">
        <f>調査票!$H$332</f>
        <v>0</v>
      </c>
    </row>
    <row r="230" spans="1:2" ht="24" customHeight="1" x14ac:dyDescent="0.15">
      <c r="A230" s="11" t="s">
        <v>819</v>
      </c>
      <c r="B230" s="368">
        <f>調査票!$H$333</f>
        <v>0</v>
      </c>
    </row>
    <row r="231" spans="1:2" ht="24" customHeight="1" x14ac:dyDescent="0.15">
      <c r="A231" s="11" t="s">
        <v>820</v>
      </c>
      <c r="B231" s="368">
        <f>調査票!$H$334</f>
        <v>0</v>
      </c>
    </row>
    <row r="232" spans="1:2" ht="24" customHeight="1" x14ac:dyDescent="0.15">
      <c r="A232" s="11" t="s">
        <v>821</v>
      </c>
      <c r="B232" s="368">
        <f>調査票!$H$335</f>
        <v>0</v>
      </c>
    </row>
    <row r="233" spans="1:2" ht="24" customHeight="1" x14ac:dyDescent="0.15">
      <c r="A233" s="11" t="s">
        <v>822</v>
      </c>
      <c r="B233" s="368" t="str">
        <f>調査票!$H$336</f>
        <v/>
      </c>
    </row>
    <row r="234" spans="1:2" ht="24" customHeight="1" x14ac:dyDescent="0.15">
      <c r="A234" s="179" t="s">
        <v>823</v>
      </c>
      <c r="B234" s="368">
        <f>調査票!$J$330</f>
        <v>0</v>
      </c>
    </row>
    <row r="235" spans="1:2" ht="24" customHeight="1" x14ac:dyDescent="0.15">
      <c r="A235" s="11" t="s">
        <v>824</v>
      </c>
      <c r="B235" s="368">
        <f>調査票!$J$331</f>
        <v>0</v>
      </c>
    </row>
    <row r="236" spans="1:2" ht="24" customHeight="1" x14ac:dyDescent="0.15">
      <c r="A236" s="11" t="s">
        <v>825</v>
      </c>
      <c r="B236" s="368">
        <f>調査票!$J$332</f>
        <v>0</v>
      </c>
    </row>
    <row r="237" spans="1:2" ht="24" customHeight="1" x14ac:dyDescent="0.15">
      <c r="A237" s="11" t="s">
        <v>826</v>
      </c>
      <c r="B237" s="368">
        <f>調査票!$J$333</f>
        <v>0</v>
      </c>
    </row>
    <row r="238" spans="1:2" ht="24" customHeight="1" x14ac:dyDescent="0.15">
      <c r="A238" s="11" t="s">
        <v>827</v>
      </c>
      <c r="B238" s="368">
        <f>調査票!$J$334</f>
        <v>0</v>
      </c>
    </row>
    <row r="239" spans="1:2" ht="24" customHeight="1" x14ac:dyDescent="0.15">
      <c r="A239" s="11" t="s">
        <v>828</v>
      </c>
      <c r="B239" s="368">
        <f>調査票!$J$335</f>
        <v>0</v>
      </c>
    </row>
    <row r="240" spans="1:2" ht="24" customHeight="1" x14ac:dyDescent="0.15">
      <c r="A240" s="11" t="s">
        <v>829</v>
      </c>
      <c r="B240" s="368" t="str">
        <f>調査票!$J$336</f>
        <v/>
      </c>
    </row>
    <row r="241" spans="1:2" ht="24" customHeight="1" x14ac:dyDescent="0.15">
      <c r="A241" s="179" t="s">
        <v>830</v>
      </c>
      <c r="B241" s="368">
        <f>調査票!$L$330</f>
        <v>0</v>
      </c>
    </row>
    <row r="242" spans="1:2" ht="24" customHeight="1" x14ac:dyDescent="0.15">
      <c r="A242" s="11" t="s">
        <v>831</v>
      </c>
      <c r="B242" s="368">
        <f>調査票!$L$331</f>
        <v>0</v>
      </c>
    </row>
    <row r="243" spans="1:2" ht="24" customHeight="1" x14ac:dyDescent="0.15">
      <c r="A243" s="11" t="s">
        <v>832</v>
      </c>
      <c r="B243" s="368">
        <f>調査票!$L$332</f>
        <v>0</v>
      </c>
    </row>
    <row r="244" spans="1:2" ht="24" customHeight="1" x14ac:dyDescent="0.15">
      <c r="A244" s="11" t="s">
        <v>833</v>
      </c>
      <c r="B244" s="368">
        <f>調査票!$L$333</f>
        <v>0</v>
      </c>
    </row>
    <row r="245" spans="1:2" ht="24" customHeight="1" x14ac:dyDescent="0.15">
      <c r="A245" s="11" t="s">
        <v>834</v>
      </c>
      <c r="B245" s="368">
        <f>調査票!$L$334</f>
        <v>0</v>
      </c>
    </row>
    <row r="246" spans="1:2" ht="24" customHeight="1" x14ac:dyDescent="0.15">
      <c r="A246" s="11" t="s">
        <v>835</v>
      </c>
      <c r="B246" s="368">
        <f>調査票!$L$335</f>
        <v>0</v>
      </c>
    </row>
    <row r="247" spans="1:2" ht="24" customHeight="1" x14ac:dyDescent="0.15">
      <c r="A247" s="11" t="s">
        <v>836</v>
      </c>
      <c r="B247" s="368" t="str">
        <f>調査票!$L$336</f>
        <v/>
      </c>
    </row>
    <row r="248" spans="1:2" ht="24" customHeight="1" x14ac:dyDescent="0.15">
      <c r="A248" s="179" t="s">
        <v>837</v>
      </c>
      <c r="B248" s="368">
        <f>調査票!$N$330</f>
        <v>0</v>
      </c>
    </row>
    <row r="249" spans="1:2" ht="24" customHeight="1" x14ac:dyDescent="0.15">
      <c r="A249" s="11" t="s">
        <v>838</v>
      </c>
      <c r="B249" s="368">
        <f>調査票!$N$331</f>
        <v>0</v>
      </c>
    </row>
    <row r="250" spans="1:2" ht="24" customHeight="1" x14ac:dyDescent="0.15">
      <c r="A250" s="11" t="s">
        <v>839</v>
      </c>
      <c r="B250" s="368">
        <f>調査票!$N$332</f>
        <v>0</v>
      </c>
    </row>
    <row r="251" spans="1:2" ht="24" customHeight="1" x14ac:dyDescent="0.15">
      <c r="A251" s="11" t="s">
        <v>840</v>
      </c>
      <c r="B251" s="368">
        <f>調査票!$N$333</f>
        <v>0</v>
      </c>
    </row>
    <row r="252" spans="1:2" ht="24" customHeight="1" x14ac:dyDescent="0.15">
      <c r="A252" s="11" t="s">
        <v>841</v>
      </c>
      <c r="B252" s="368">
        <f>調査票!$N$334</f>
        <v>0</v>
      </c>
    </row>
    <row r="253" spans="1:2" ht="24" customHeight="1" x14ac:dyDescent="0.15">
      <c r="A253" s="11" t="s">
        <v>842</v>
      </c>
      <c r="B253" s="368">
        <f>調査票!$N$335</f>
        <v>0</v>
      </c>
    </row>
    <row r="254" spans="1:2" ht="24" customHeight="1" x14ac:dyDescent="0.15">
      <c r="A254" s="11" t="s">
        <v>843</v>
      </c>
      <c r="B254" s="368" t="str">
        <f>調査票!$N$336</f>
        <v/>
      </c>
    </row>
    <row r="255" spans="1:2" ht="24" customHeight="1" x14ac:dyDescent="0.15">
      <c r="A255" s="179" t="s">
        <v>844</v>
      </c>
      <c r="B255" s="368">
        <f>調査票!$P$330</f>
        <v>0</v>
      </c>
    </row>
    <row r="256" spans="1:2" ht="24" customHeight="1" x14ac:dyDescent="0.15">
      <c r="A256" s="11" t="s">
        <v>845</v>
      </c>
      <c r="B256" s="368">
        <f>調査票!$P$331</f>
        <v>0</v>
      </c>
    </row>
    <row r="257" spans="1:2" ht="24" customHeight="1" x14ac:dyDescent="0.15">
      <c r="A257" s="11" t="s">
        <v>846</v>
      </c>
      <c r="B257" s="368">
        <f>調査票!$P$332</f>
        <v>0</v>
      </c>
    </row>
    <row r="258" spans="1:2" ht="24" customHeight="1" x14ac:dyDescent="0.15">
      <c r="A258" s="11" t="s">
        <v>847</v>
      </c>
      <c r="B258" s="368">
        <f>調査票!$P$333</f>
        <v>0</v>
      </c>
    </row>
    <row r="259" spans="1:2" ht="24" customHeight="1" x14ac:dyDescent="0.15">
      <c r="A259" s="11" t="s">
        <v>848</v>
      </c>
      <c r="B259" s="368">
        <f>調査票!$P$334</f>
        <v>0</v>
      </c>
    </row>
    <row r="260" spans="1:2" ht="24" customHeight="1" x14ac:dyDescent="0.15">
      <c r="A260" s="11" t="s">
        <v>849</v>
      </c>
      <c r="B260" s="368">
        <f>調査票!$P$335</f>
        <v>0</v>
      </c>
    </row>
    <row r="261" spans="1:2" ht="24" customHeight="1" x14ac:dyDescent="0.15">
      <c r="A261" s="11" t="s">
        <v>850</v>
      </c>
      <c r="B261" s="368" t="str">
        <f>調査票!$P$336</f>
        <v/>
      </c>
    </row>
    <row r="262" spans="1:2" ht="24" customHeight="1" x14ac:dyDescent="0.15">
      <c r="A262" s="179" t="s">
        <v>851</v>
      </c>
      <c r="B262" s="368">
        <f>調査票!$R$330</f>
        <v>0</v>
      </c>
    </row>
    <row r="263" spans="1:2" ht="24" customHeight="1" x14ac:dyDescent="0.15">
      <c r="A263" s="11" t="s">
        <v>852</v>
      </c>
      <c r="B263" s="368">
        <f>調査票!$R$331</f>
        <v>0</v>
      </c>
    </row>
    <row r="264" spans="1:2" ht="24" customHeight="1" x14ac:dyDescent="0.15">
      <c r="A264" s="11" t="s">
        <v>853</v>
      </c>
      <c r="B264" s="368">
        <f>調査票!$R$332</f>
        <v>0</v>
      </c>
    </row>
    <row r="265" spans="1:2" ht="24" customHeight="1" x14ac:dyDescent="0.15">
      <c r="A265" s="11" t="s">
        <v>854</v>
      </c>
      <c r="B265" s="368">
        <f>調査票!$R$333</f>
        <v>0</v>
      </c>
    </row>
    <row r="266" spans="1:2" ht="24" customHeight="1" x14ac:dyDescent="0.15">
      <c r="A266" s="11" t="s">
        <v>855</v>
      </c>
      <c r="B266" s="368">
        <f>調査票!$R$334</f>
        <v>0</v>
      </c>
    </row>
    <row r="267" spans="1:2" ht="24" customHeight="1" x14ac:dyDescent="0.15">
      <c r="A267" s="11" t="s">
        <v>856</v>
      </c>
      <c r="B267" s="368">
        <f>調査票!$R$335</f>
        <v>0</v>
      </c>
    </row>
    <row r="268" spans="1:2" ht="24" customHeight="1" x14ac:dyDescent="0.15">
      <c r="A268" s="11" t="s">
        <v>857</v>
      </c>
      <c r="B268" s="368" t="str">
        <f>調査票!$R$336</f>
        <v/>
      </c>
    </row>
    <row r="269" spans="1:2" ht="24" customHeight="1" x14ac:dyDescent="0.15">
      <c r="A269" s="180" t="s">
        <v>858</v>
      </c>
      <c r="B269" s="368">
        <f>調査票!$F$338</f>
        <v>0</v>
      </c>
    </row>
    <row r="270" spans="1:2" ht="24" customHeight="1" x14ac:dyDescent="0.15">
      <c r="A270" s="180" t="s">
        <v>859</v>
      </c>
      <c r="B270" s="368">
        <f>調査票!$F$339</f>
        <v>0</v>
      </c>
    </row>
    <row r="271" spans="1:2" ht="24" customHeight="1" x14ac:dyDescent="0.15">
      <c r="A271" s="180" t="s">
        <v>860</v>
      </c>
      <c r="B271" s="368">
        <f>調査票!$F$340</f>
        <v>0</v>
      </c>
    </row>
    <row r="272" spans="1:2" ht="24" customHeight="1" x14ac:dyDescent="0.15">
      <c r="A272" s="180" t="s">
        <v>861</v>
      </c>
      <c r="B272" s="368">
        <f>調査票!$F$341</f>
        <v>0</v>
      </c>
    </row>
    <row r="273" spans="1:2" ht="24" customHeight="1" x14ac:dyDescent="0.15">
      <c r="A273" s="180" t="s">
        <v>862</v>
      </c>
      <c r="B273" s="368">
        <f>調査票!$F$342</f>
        <v>0</v>
      </c>
    </row>
    <row r="274" spans="1:2" ht="24" customHeight="1" x14ac:dyDescent="0.15">
      <c r="A274" s="180" t="s">
        <v>863</v>
      </c>
      <c r="B274" s="368">
        <f>調査票!$F$343</f>
        <v>0</v>
      </c>
    </row>
    <row r="275" spans="1:2" ht="24" customHeight="1" x14ac:dyDescent="0.15">
      <c r="A275" s="180" t="s">
        <v>864</v>
      </c>
      <c r="B275" s="368" t="str">
        <f>調査票!$F$344</f>
        <v/>
      </c>
    </row>
    <row r="276" spans="1:2" ht="24" customHeight="1" x14ac:dyDescent="0.15">
      <c r="A276" s="180" t="s">
        <v>865</v>
      </c>
      <c r="B276" s="368">
        <f>調査票!$H$338</f>
        <v>0</v>
      </c>
    </row>
    <row r="277" spans="1:2" ht="24" customHeight="1" x14ac:dyDescent="0.15">
      <c r="A277" s="181" t="s">
        <v>866</v>
      </c>
      <c r="B277" s="368">
        <f>調査票!$H$339</f>
        <v>0</v>
      </c>
    </row>
    <row r="278" spans="1:2" ht="24" customHeight="1" x14ac:dyDescent="0.15">
      <c r="A278" s="181" t="s">
        <v>867</v>
      </c>
      <c r="B278" s="368">
        <f>調査票!$H$340</f>
        <v>0</v>
      </c>
    </row>
    <row r="279" spans="1:2" ht="24" customHeight="1" x14ac:dyDescent="0.15">
      <c r="A279" s="181" t="s">
        <v>868</v>
      </c>
      <c r="B279" s="368">
        <f>調査票!$H$341</f>
        <v>0</v>
      </c>
    </row>
    <row r="280" spans="1:2" ht="24" customHeight="1" x14ac:dyDescent="0.15">
      <c r="A280" s="181" t="s">
        <v>869</v>
      </c>
      <c r="B280" s="368">
        <f>調査票!$H$342</f>
        <v>0</v>
      </c>
    </row>
    <row r="281" spans="1:2" ht="24" customHeight="1" x14ac:dyDescent="0.15">
      <c r="A281" s="181" t="s">
        <v>870</v>
      </c>
      <c r="B281" s="368">
        <f>調査票!$H$343</f>
        <v>0</v>
      </c>
    </row>
    <row r="282" spans="1:2" ht="24" customHeight="1" x14ac:dyDescent="0.15">
      <c r="A282" s="181" t="s">
        <v>871</v>
      </c>
      <c r="B282" s="368" t="str">
        <f>調査票!$H$344</f>
        <v/>
      </c>
    </row>
    <row r="283" spans="1:2" ht="24" customHeight="1" x14ac:dyDescent="0.15">
      <c r="A283" s="180" t="s">
        <v>872</v>
      </c>
      <c r="B283" s="368">
        <f>調査票!$J$338</f>
        <v>0</v>
      </c>
    </row>
    <row r="284" spans="1:2" ht="24" customHeight="1" x14ac:dyDescent="0.15">
      <c r="A284" s="181" t="s">
        <v>873</v>
      </c>
      <c r="B284" s="368">
        <f>調査票!$J$339</f>
        <v>0</v>
      </c>
    </row>
    <row r="285" spans="1:2" ht="24" customHeight="1" x14ac:dyDescent="0.15">
      <c r="A285" s="181" t="s">
        <v>874</v>
      </c>
      <c r="B285" s="368">
        <f>調査票!$J$340</f>
        <v>0</v>
      </c>
    </row>
    <row r="286" spans="1:2" ht="24" customHeight="1" x14ac:dyDescent="0.15">
      <c r="A286" s="181" t="s">
        <v>875</v>
      </c>
      <c r="B286" s="368">
        <f>調査票!$J$341</f>
        <v>0</v>
      </c>
    </row>
    <row r="287" spans="1:2" ht="24" customHeight="1" x14ac:dyDescent="0.15">
      <c r="A287" s="181" t="s">
        <v>876</v>
      </c>
      <c r="B287" s="368">
        <f>調査票!$J$342</f>
        <v>0</v>
      </c>
    </row>
    <row r="288" spans="1:2" ht="24" customHeight="1" x14ac:dyDescent="0.15">
      <c r="A288" s="181" t="s">
        <v>877</v>
      </c>
      <c r="B288" s="368">
        <f>調査票!$J$343</f>
        <v>0</v>
      </c>
    </row>
    <row r="289" spans="1:2" ht="24" customHeight="1" x14ac:dyDescent="0.15">
      <c r="A289" s="181" t="s">
        <v>878</v>
      </c>
      <c r="B289" s="368" t="str">
        <f>調査票!$J$344</f>
        <v/>
      </c>
    </row>
    <row r="290" spans="1:2" ht="24" customHeight="1" x14ac:dyDescent="0.15">
      <c r="A290" s="180" t="s">
        <v>879</v>
      </c>
      <c r="B290" s="368">
        <f>調査票!$L$338</f>
        <v>0</v>
      </c>
    </row>
    <row r="291" spans="1:2" ht="24" customHeight="1" x14ac:dyDescent="0.15">
      <c r="A291" s="181" t="s">
        <v>880</v>
      </c>
      <c r="B291" s="368">
        <f>調査票!$L$339</f>
        <v>0</v>
      </c>
    </row>
    <row r="292" spans="1:2" ht="24" customHeight="1" x14ac:dyDescent="0.15">
      <c r="A292" s="181" t="s">
        <v>881</v>
      </c>
      <c r="B292" s="368">
        <f>調査票!$L$340</f>
        <v>0</v>
      </c>
    </row>
    <row r="293" spans="1:2" ht="24" customHeight="1" x14ac:dyDescent="0.15">
      <c r="A293" s="181" t="s">
        <v>882</v>
      </c>
      <c r="B293" s="368">
        <f>調査票!$L$341</f>
        <v>0</v>
      </c>
    </row>
    <row r="294" spans="1:2" ht="24" customHeight="1" x14ac:dyDescent="0.15">
      <c r="A294" s="181" t="s">
        <v>883</v>
      </c>
      <c r="B294" s="368">
        <f>調査票!$L$342</f>
        <v>0</v>
      </c>
    </row>
    <row r="295" spans="1:2" ht="24" customHeight="1" x14ac:dyDescent="0.15">
      <c r="A295" s="181" t="s">
        <v>884</v>
      </c>
      <c r="B295" s="368">
        <f>調査票!$L$343</f>
        <v>0</v>
      </c>
    </row>
    <row r="296" spans="1:2" ht="24" customHeight="1" x14ac:dyDescent="0.15">
      <c r="A296" s="181" t="s">
        <v>885</v>
      </c>
      <c r="B296" s="368" t="str">
        <f>調査票!$L$344</f>
        <v/>
      </c>
    </row>
    <row r="297" spans="1:2" ht="24" customHeight="1" x14ac:dyDescent="0.15">
      <c r="A297" s="180" t="s">
        <v>886</v>
      </c>
      <c r="B297" s="368">
        <f>調査票!$N$338</f>
        <v>0</v>
      </c>
    </row>
    <row r="298" spans="1:2" ht="24" customHeight="1" x14ac:dyDescent="0.15">
      <c r="A298" s="181" t="s">
        <v>887</v>
      </c>
      <c r="B298" s="368">
        <f>調査票!$N$339</f>
        <v>0</v>
      </c>
    </row>
    <row r="299" spans="1:2" ht="24" customHeight="1" x14ac:dyDescent="0.15">
      <c r="A299" s="181" t="s">
        <v>888</v>
      </c>
      <c r="B299" s="368">
        <f>調査票!$N$340</f>
        <v>0</v>
      </c>
    </row>
    <row r="300" spans="1:2" ht="24" customHeight="1" x14ac:dyDescent="0.15">
      <c r="A300" s="181" t="s">
        <v>889</v>
      </c>
      <c r="B300" s="368">
        <f>調査票!$N$341</f>
        <v>0</v>
      </c>
    </row>
    <row r="301" spans="1:2" ht="24" customHeight="1" x14ac:dyDescent="0.15">
      <c r="A301" s="181" t="s">
        <v>890</v>
      </c>
      <c r="B301" s="368">
        <f>調査票!$N$342</f>
        <v>0</v>
      </c>
    </row>
    <row r="302" spans="1:2" ht="24" customHeight="1" x14ac:dyDescent="0.15">
      <c r="A302" s="181" t="s">
        <v>891</v>
      </c>
      <c r="B302" s="368">
        <f>調査票!$N$343</f>
        <v>0</v>
      </c>
    </row>
    <row r="303" spans="1:2" ht="24" customHeight="1" x14ac:dyDescent="0.15">
      <c r="A303" s="181" t="s">
        <v>892</v>
      </c>
      <c r="B303" s="368" t="str">
        <f>調査票!$N$344</f>
        <v/>
      </c>
    </row>
    <row r="304" spans="1:2" ht="24" customHeight="1" x14ac:dyDescent="0.15">
      <c r="A304" s="180" t="s">
        <v>893</v>
      </c>
      <c r="B304" s="368">
        <f>調査票!$P$338</f>
        <v>0</v>
      </c>
    </row>
    <row r="305" spans="1:2" ht="24" customHeight="1" x14ac:dyDescent="0.15">
      <c r="A305" s="181" t="s">
        <v>894</v>
      </c>
      <c r="B305" s="368">
        <f>調査票!$P$339</f>
        <v>0</v>
      </c>
    </row>
    <row r="306" spans="1:2" ht="24" customHeight="1" x14ac:dyDescent="0.15">
      <c r="A306" s="181" t="s">
        <v>895</v>
      </c>
      <c r="B306" s="368">
        <f>調査票!$P$340</f>
        <v>0</v>
      </c>
    </row>
    <row r="307" spans="1:2" ht="24" customHeight="1" x14ac:dyDescent="0.15">
      <c r="A307" s="181" t="s">
        <v>896</v>
      </c>
      <c r="B307" s="368">
        <f>調査票!$P$341</f>
        <v>0</v>
      </c>
    </row>
    <row r="308" spans="1:2" ht="24" customHeight="1" x14ac:dyDescent="0.15">
      <c r="A308" s="181" t="s">
        <v>897</v>
      </c>
      <c r="B308" s="368">
        <f>調査票!$P$342</f>
        <v>0</v>
      </c>
    </row>
    <row r="309" spans="1:2" ht="24" customHeight="1" x14ac:dyDescent="0.15">
      <c r="A309" s="181" t="s">
        <v>898</v>
      </c>
      <c r="B309" s="368">
        <f>調査票!$P$343</f>
        <v>0</v>
      </c>
    </row>
    <row r="310" spans="1:2" ht="24" customHeight="1" x14ac:dyDescent="0.15">
      <c r="A310" s="181" t="s">
        <v>899</v>
      </c>
      <c r="B310" s="368" t="str">
        <f>調査票!$P$344</f>
        <v/>
      </c>
    </row>
    <row r="311" spans="1:2" ht="24" customHeight="1" x14ac:dyDescent="0.15">
      <c r="A311" s="180" t="s">
        <v>900</v>
      </c>
      <c r="B311" s="368">
        <f>調査票!$R$338</f>
        <v>0</v>
      </c>
    </row>
    <row r="312" spans="1:2" ht="24" customHeight="1" x14ac:dyDescent="0.15">
      <c r="A312" s="181" t="s">
        <v>901</v>
      </c>
      <c r="B312" s="368">
        <f>調査票!$R$339</f>
        <v>0</v>
      </c>
    </row>
    <row r="313" spans="1:2" ht="24" customHeight="1" x14ac:dyDescent="0.15">
      <c r="A313" s="181" t="s">
        <v>902</v>
      </c>
      <c r="B313" s="368">
        <f>調査票!$R$340</f>
        <v>0</v>
      </c>
    </row>
    <row r="314" spans="1:2" ht="24" customHeight="1" x14ac:dyDescent="0.15">
      <c r="A314" s="181" t="s">
        <v>903</v>
      </c>
      <c r="B314" s="368">
        <f>調査票!$R$341</f>
        <v>0</v>
      </c>
    </row>
    <row r="315" spans="1:2" ht="24" customHeight="1" x14ac:dyDescent="0.15">
      <c r="A315" s="181" t="s">
        <v>904</v>
      </c>
      <c r="B315" s="368">
        <f>調査票!$R$342</f>
        <v>0</v>
      </c>
    </row>
    <row r="316" spans="1:2" ht="24" customHeight="1" x14ac:dyDescent="0.15">
      <c r="A316" s="181" t="s">
        <v>905</v>
      </c>
      <c r="B316" s="368">
        <f>調査票!$R$343</f>
        <v>0</v>
      </c>
    </row>
    <row r="317" spans="1:2" ht="24" customHeight="1" x14ac:dyDescent="0.15">
      <c r="A317" s="181" t="s">
        <v>906</v>
      </c>
      <c r="B317" s="368" t="str">
        <f>調査票!$R$344</f>
        <v/>
      </c>
    </row>
    <row r="318" spans="1:2" ht="24" customHeight="1" x14ac:dyDescent="0.15">
      <c r="A318" s="179" t="s">
        <v>907</v>
      </c>
      <c r="B318" s="368">
        <f>調査票!$F$347</f>
        <v>0</v>
      </c>
    </row>
    <row r="319" spans="1:2" ht="24" customHeight="1" x14ac:dyDescent="0.15">
      <c r="A319" s="179" t="s">
        <v>908</v>
      </c>
      <c r="B319" s="368">
        <f>調査票!$F$348</f>
        <v>0</v>
      </c>
    </row>
    <row r="320" spans="1:2" ht="24" customHeight="1" x14ac:dyDescent="0.15">
      <c r="A320" s="179" t="s">
        <v>909</v>
      </c>
      <c r="B320" s="368">
        <f>調査票!$F$349</f>
        <v>0</v>
      </c>
    </row>
    <row r="321" spans="1:2" ht="24" customHeight="1" x14ac:dyDescent="0.15">
      <c r="A321" s="179" t="s">
        <v>910</v>
      </c>
      <c r="B321" s="368">
        <f>調査票!$F$350</f>
        <v>0</v>
      </c>
    </row>
    <row r="322" spans="1:2" ht="24" customHeight="1" x14ac:dyDescent="0.15">
      <c r="A322" s="179" t="s">
        <v>911</v>
      </c>
      <c r="B322" s="368">
        <f>調査票!$F$351</f>
        <v>0</v>
      </c>
    </row>
    <row r="323" spans="1:2" ht="24" customHeight="1" x14ac:dyDescent="0.15">
      <c r="A323" s="179" t="s">
        <v>912</v>
      </c>
      <c r="B323" s="368">
        <f>調査票!$F$352</f>
        <v>0</v>
      </c>
    </row>
    <row r="324" spans="1:2" ht="24" customHeight="1" x14ac:dyDescent="0.15">
      <c r="A324" s="179" t="s">
        <v>913</v>
      </c>
      <c r="B324" s="368" t="str">
        <f>調査票!$F$353</f>
        <v/>
      </c>
    </row>
    <row r="325" spans="1:2" ht="24" customHeight="1" x14ac:dyDescent="0.15">
      <c r="A325" s="179" t="s">
        <v>914</v>
      </c>
      <c r="B325" s="368">
        <f>調査票!$H$347</f>
        <v>0</v>
      </c>
    </row>
    <row r="326" spans="1:2" ht="24" customHeight="1" x14ac:dyDescent="0.15">
      <c r="A326" s="11" t="s">
        <v>915</v>
      </c>
      <c r="B326" s="368">
        <f>調査票!$H$348</f>
        <v>0</v>
      </c>
    </row>
    <row r="327" spans="1:2" ht="24" customHeight="1" x14ac:dyDescent="0.15">
      <c r="A327" s="11" t="s">
        <v>916</v>
      </c>
      <c r="B327" s="368">
        <f>調査票!$H$349</f>
        <v>0</v>
      </c>
    </row>
    <row r="328" spans="1:2" ht="24" customHeight="1" x14ac:dyDescent="0.15">
      <c r="A328" s="11" t="s">
        <v>917</v>
      </c>
      <c r="B328" s="368">
        <f>調査票!$H$350</f>
        <v>0</v>
      </c>
    </row>
    <row r="329" spans="1:2" ht="24" customHeight="1" x14ac:dyDescent="0.15">
      <c r="A329" s="11" t="s">
        <v>918</v>
      </c>
      <c r="B329" s="368">
        <f>調査票!$H$351</f>
        <v>0</v>
      </c>
    </row>
    <row r="330" spans="1:2" ht="24" customHeight="1" x14ac:dyDescent="0.15">
      <c r="A330" s="11" t="s">
        <v>919</v>
      </c>
      <c r="B330" s="368">
        <f>調査票!$H$352</f>
        <v>0</v>
      </c>
    </row>
    <row r="331" spans="1:2" ht="24" customHeight="1" x14ac:dyDescent="0.15">
      <c r="A331" s="11" t="s">
        <v>920</v>
      </c>
      <c r="B331" s="368" t="str">
        <f>調査票!$H$353</f>
        <v/>
      </c>
    </row>
    <row r="332" spans="1:2" ht="24" customHeight="1" x14ac:dyDescent="0.15">
      <c r="A332" s="179" t="s">
        <v>921</v>
      </c>
      <c r="B332" s="368">
        <f>調査票!$J$347</f>
        <v>0</v>
      </c>
    </row>
    <row r="333" spans="1:2" ht="24" customHeight="1" x14ac:dyDescent="0.15">
      <c r="A333" s="11" t="s">
        <v>922</v>
      </c>
      <c r="B333" s="368">
        <f>調査票!$J$348</f>
        <v>0</v>
      </c>
    </row>
    <row r="334" spans="1:2" ht="24" customHeight="1" x14ac:dyDescent="0.15">
      <c r="A334" s="11" t="s">
        <v>923</v>
      </c>
      <c r="B334" s="368">
        <f>調査票!$J$349</f>
        <v>0</v>
      </c>
    </row>
    <row r="335" spans="1:2" ht="24" customHeight="1" x14ac:dyDescent="0.15">
      <c r="A335" s="11" t="s">
        <v>924</v>
      </c>
      <c r="B335" s="368">
        <f>調査票!$J$350</f>
        <v>0</v>
      </c>
    </row>
    <row r="336" spans="1:2" ht="24" customHeight="1" x14ac:dyDescent="0.15">
      <c r="A336" s="11" t="s">
        <v>925</v>
      </c>
      <c r="B336" s="368">
        <f>調査票!$J$351</f>
        <v>0</v>
      </c>
    </row>
    <row r="337" spans="1:2" ht="24" customHeight="1" x14ac:dyDescent="0.15">
      <c r="A337" s="11" t="s">
        <v>926</v>
      </c>
      <c r="B337" s="368">
        <f>調査票!$J$352</f>
        <v>0</v>
      </c>
    </row>
    <row r="338" spans="1:2" ht="24" customHeight="1" x14ac:dyDescent="0.15">
      <c r="A338" s="11" t="s">
        <v>927</v>
      </c>
      <c r="B338" s="368" t="str">
        <f>調査票!$J$353</f>
        <v/>
      </c>
    </row>
    <row r="339" spans="1:2" ht="24" customHeight="1" x14ac:dyDescent="0.15">
      <c r="A339" s="179" t="s">
        <v>928</v>
      </c>
      <c r="B339" s="368">
        <f>調査票!$L$347</f>
        <v>0</v>
      </c>
    </row>
    <row r="340" spans="1:2" ht="24" customHeight="1" x14ac:dyDescent="0.15">
      <c r="A340" s="11" t="s">
        <v>929</v>
      </c>
      <c r="B340" s="368">
        <f>調査票!$L$348</f>
        <v>0</v>
      </c>
    </row>
    <row r="341" spans="1:2" ht="24" customHeight="1" x14ac:dyDescent="0.15">
      <c r="A341" s="11" t="s">
        <v>930</v>
      </c>
      <c r="B341" s="368">
        <f>調査票!$L$349</f>
        <v>0</v>
      </c>
    </row>
    <row r="342" spans="1:2" ht="24" customHeight="1" x14ac:dyDescent="0.15">
      <c r="A342" s="11" t="s">
        <v>931</v>
      </c>
      <c r="B342" s="368">
        <f>調査票!$L$350</f>
        <v>0</v>
      </c>
    </row>
    <row r="343" spans="1:2" ht="24" customHeight="1" x14ac:dyDescent="0.15">
      <c r="A343" s="11" t="s">
        <v>932</v>
      </c>
      <c r="B343" s="368">
        <f>調査票!$L$351</f>
        <v>0</v>
      </c>
    </row>
    <row r="344" spans="1:2" ht="24" customHeight="1" x14ac:dyDescent="0.15">
      <c r="A344" s="11" t="s">
        <v>933</v>
      </c>
      <c r="B344" s="368">
        <f>調査票!$L$352</f>
        <v>0</v>
      </c>
    </row>
    <row r="345" spans="1:2" ht="24" customHeight="1" x14ac:dyDescent="0.15">
      <c r="A345" s="11" t="s">
        <v>934</v>
      </c>
      <c r="B345" s="368" t="str">
        <f>調査票!$L$353</f>
        <v/>
      </c>
    </row>
    <row r="346" spans="1:2" ht="24" customHeight="1" x14ac:dyDescent="0.15">
      <c r="A346" s="179" t="s">
        <v>935</v>
      </c>
      <c r="B346" s="368">
        <f>調査票!$N$347</f>
        <v>0</v>
      </c>
    </row>
    <row r="347" spans="1:2" ht="24" customHeight="1" x14ac:dyDescent="0.15">
      <c r="A347" s="11" t="s">
        <v>936</v>
      </c>
      <c r="B347" s="368">
        <f>調査票!$N$348</f>
        <v>0</v>
      </c>
    </row>
    <row r="348" spans="1:2" ht="24" customHeight="1" x14ac:dyDescent="0.15">
      <c r="A348" s="11" t="s">
        <v>937</v>
      </c>
      <c r="B348" s="368">
        <f>調査票!$N$349</f>
        <v>0</v>
      </c>
    </row>
    <row r="349" spans="1:2" ht="24" customHeight="1" x14ac:dyDescent="0.15">
      <c r="A349" s="11" t="s">
        <v>938</v>
      </c>
      <c r="B349" s="368">
        <f>調査票!$N$350</f>
        <v>0</v>
      </c>
    </row>
    <row r="350" spans="1:2" ht="24" customHeight="1" x14ac:dyDescent="0.15">
      <c r="A350" s="11" t="s">
        <v>939</v>
      </c>
      <c r="B350" s="368">
        <f>調査票!$N$351</f>
        <v>0</v>
      </c>
    </row>
    <row r="351" spans="1:2" ht="24" customHeight="1" x14ac:dyDescent="0.15">
      <c r="A351" s="11" t="s">
        <v>940</v>
      </c>
      <c r="B351" s="368">
        <f>調査票!$N$352</f>
        <v>0</v>
      </c>
    </row>
    <row r="352" spans="1:2" ht="24" customHeight="1" x14ac:dyDescent="0.15">
      <c r="A352" s="11" t="s">
        <v>941</v>
      </c>
      <c r="B352" s="368" t="str">
        <f>調査票!$N$353</f>
        <v/>
      </c>
    </row>
    <row r="353" spans="1:2" ht="24" customHeight="1" x14ac:dyDescent="0.15">
      <c r="A353" s="179" t="s">
        <v>942</v>
      </c>
      <c r="B353" s="368">
        <f>調査票!$P$347</f>
        <v>0</v>
      </c>
    </row>
    <row r="354" spans="1:2" ht="24" customHeight="1" x14ac:dyDescent="0.15">
      <c r="A354" s="11" t="s">
        <v>943</v>
      </c>
      <c r="B354" s="368">
        <f>調査票!$P$348</f>
        <v>0</v>
      </c>
    </row>
    <row r="355" spans="1:2" ht="24" customHeight="1" x14ac:dyDescent="0.15">
      <c r="A355" s="11" t="s">
        <v>944</v>
      </c>
      <c r="B355" s="368">
        <f>調査票!$P$349</f>
        <v>0</v>
      </c>
    </row>
    <row r="356" spans="1:2" ht="24" customHeight="1" x14ac:dyDescent="0.15">
      <c r="A356" s="11" t="s">
        <v>945</v>
      </c>
      <c r="B356" s="368">
        <f>調査票!$P$350</f>
        <v>0</v>
      </c>
    </row>
    <row r="357" spans="1:2" ht="24" customHeight="1" x14ac:dyDescent="0.15">
      <c r="A357" s="11" t="s">
        <v>946</v>
      </c>
      <c r="B357" s="368">
        <f>調査票!$P$351</f>
        <v>0</v>
      </c>
    </row>
    <row r="358" spans="1:2" ht="24" customHeight="1" x14ac:dyDescent="0.15">
      <c r="A358" s="11" t="s">
        <v>947</v>
      </c>
      <c r="B358" s="368">
        <f>調査票!$P$352</f>
        <v>0</v>
      </c>
    </row>
    <row r="359" spans="1:2" ht="24" customHeight="1" x14ac:dyDescent="0.15">
      <c r="A359" s="11" t="s">
        <v>948</v>
      </c>
      <c r="B359" s="368" t="str">
        <f>調査票!$P$353</f>
        <v/>
      </c>
    </row>
    <row r="360" spans="1:2" ht="24" customHeight="1" x14ac:dyDescent="0.15">
      <c r="A360" s="179" t="s">
        <v>949</v>
      </c>
      <c r="B360" s="368">
        <f>調査票!$R$347</f>
        <v>0</v>
      </c>
    </row>
    <row r="361" spans="1:2" ht="24" customHeight="1" x14ac:dyDescent="0.15">
      <c r="A361" s="11" t="s">
        <v>950</v>
      </c>
      <c r="B361" s="368">
        <f>調査票!$R$348</f>
        <v>0</v>
      </c>
    </row>
    <row r="362" spans="1:2" ht="24" customHeight="1" x14ac:dyDescent="0.15">
      <c r="A362" s="11" t="s">
        <v>951</v>
      </c>
      <c r="B362" s="368">
        <f>調査票!$R$349</f>
        <v>0</v>
      </c>
    </row>
    <row r="363" spans="1:2" ht="24" customHeight="1" x14ac:dyDescent="0.15">
      <c r="A363" s="11" t="s">
        <v>952</v>
      </c>
      <c r="B363" s="368">
        <f>調査票!$R$350</f>
        <v>0</v>
      </c>
    </row>
    <row r="364" spans="1:2" ht="24" customHeight="1" x14ac:dyDescent="0.15">
      <c r="A364" s="11" t="s">
        <v>953</v>
      </c>
      <c r="B364" s="368">
        <f>調査票!$R$351</f>
        <v>0</v>
      </c>
    </row>
    <row r="365" spans="1:2" ht="24" customHeight="1" x14ac:dyDescent="0.15">
      <c r="A365" s="11" t="s">
        <v>954</v>
      </c>
      <c r="B365" s="368">
        <f>調査票!$R$352</f>
        <v>0</v>
      </c>
    </row>
    <row r="366" spans="1:2" ht="24" customHeight="1" x14ac:dyDescent="0.15">
      <c r="A366" s="11" t="s">
        <v>955</v>
      </c>
      <c r="B366" s="368" t="str">
        <f>調査票!$R$353</f>
        <v/>
      </c>
    </row>
    <row r="367" spans="1:2" ht="24" customHeight="1" x14ac:dyDescent="0.15">
      <c r="A367" s="180" t="s">
        <v>956</v>
      </c>
      <c r="B367" s="368">
        <f>調査票!$F$355</f>
        <v>0</v>
      </c>
    </row>
    <row r="368" spans="1:2" ht="24" customHeight="1" x14ac:dyDescent="0.15">
      <c r="A368" s="180" t="s">
        <v>957</v>
      </c>
      <c r="B368" s="368">
        <f>調査票!$F$356</f>
        <v>0</v>
      </c>
    </row>
    <row r="369" spans="1:2" ht="24" customHeight="1" x14ac:dyDescent="0.15">
      <c r="A369" s="180" t="s">
        <v>958</v>
      </c>
      <c r="B369" s="368">
        <f>調査票!$F$357</f>
        <v>0</v>
      </c>
    </row>
    <row r="370" spans="1:2" ht="24" customHeight="1" x14ac:dyDescent="0.15">
      <c r="A370" s="180" t="s">
        <v>959</v>
      </c>
      <c r="B370" s="368">
        <f>調査票!$F$358</f>
        <v>0</v>
      </c>
    </row>
    <row r="371" spans="1:2" ht="24" customHeight="1" x14ac:dyDescent="0.15">
      <c r="A371" s="180" t="s">
        <v>960</v>
      </c>
      <c r="B371" s="368">
        <f>調査票!$F$359</f>
        <v>0</v>
      </c>
    </row>
    <row r="372" spans="1:2" ht="24" customHeight="1" x14ac:dyDescent="0.15">
      <c r="A372" s="180" t="s">
        <v>961</v>
      </c>
      <c r="B372" s="368">
        <f>調査票!$F$360</f>
        <v>0</v>
      </c>
    </row>
    <row r="373" spans="1:2" ht="24" customHeight="1" x14ac:dyDescent="0.15">
      <c r="A373" s="180" t="s">
        <v>962</v>
      </c>
      <c r="B373" s="368" t="str">
        <f>調査票!$F$361</f>
        <v/>
      </c>
    </row>
    <row r="374" spans="1:2" ht="24" customHeight="1" x14ac:dyDescent="0.15">
      <c r="A374" s="180" t="s">
        <v>963</v>
      </c>
      <c r="B374" s="368">
        <f>調査票!$H$355</f>
        <v>0</v>
      </c>
    </row>
    <row r="375" spans="1:2" ht="24" customHeight="1" x14ac:dyDescent="0.15">
      <c r="A375" s="181" t="s">
        <v>964</v>
      </c>
      <c r="B375" s="368">
        <f>調査票!$H$356</f>
        <v>0</v>
      </c>
    </row>
    <row r="376" spans="1:2" ht="24" customHeight="1" x14ac:dyDescent="0.15">
      <c r="A376" s="181" t="s">
        <v>965</v>
      </c>
      <c r="B376" s="368">
        <f>調査票!$H$357</f>
        <v>0</v>
      </c>
    </row>
    <row r="377" spans="1:2" ht="24" customHeight="1" x14ac:dyDescent="0.15">
      <c r="A377" s="181" t="s">
        <v>966</v>
      </c>
      <c r="B377" s="368">
        <f>調査票!$H$358</f>
        <v>0</v>
      </c>
    </row>
    <row r="378" spans="1:2" ht="24" customHeight="1" x14ac:dyDescent="0.15">
      <c r="A378" s="181" t="s">
        <v>967</v>
      </c>
      <c r="B378" s="368">
        <f>調査票!$H$359</f>
        <v>0</v>
      </c>
    </row>
    <row r="379" spans="1:2" ht="24" customHeight="1" x14ac:dyDescent="0.15">
      <c r="A379" s="181" t="s">
        <v>968</v>
      </c>
      <c r="B379" s="368">
        <f>調査票!$H$360</f>
        <v>0</v>
      </c>
    </row>
    <row r="380" spans="1:2" ht="24" customHeight="1" x14ac:dyDescent="0.15">
      <c r="A380" s="181" t="s">
        <v>969</v>
      </c>
      <c r="B380" s="368" t="str">
        <f>調査票!$H$361</f>
        <v/>
      </c>
    </row>
    <row r="381" spans="1:2" ht="24" customHeight="1" x14ac:dyDescent="0.15">
      <c r="A381" s="180" t="s">
        <v>970</v>
      </c>
      <c r="B381" s="368">
        <f>調査票!$J$355</f>
        <v>0</v>
      </c>
    </row>
    <row r="382" spans="1:2" ht="24" customHeight="1" x14ac:dyDescent="0.15">
      <c r="A382" s="181" t="s">
        <v>971</v>
      </c>
      <c r="B382" s="368">
        <f>調査票!$J$356</f>
        <v>0</v>
      </c>
    </row>
    <row r="383" spans="1:2" ht="24" customHeight="1" x14ac:dyDescent="0.15">
      <c r="A383" s="181" t="s">
        <v>972</v>
      </c>
      <c r="B383" s="368">
        <f>調査票!$J$357</f>
        <v>0</v>
      </c>
    </row>
    <row r="384" spans="1:2" ht="24" customHeight="1" x14ac:dyDescent="0.15">
      <c r="A384" s="181" t="s">
        <v>973</v>
      </c>
      <c r="B384" s="368">
        <f>調査票!$J$358</f>
        <v>0</v>
      </c>
    </row>
    <row r="385" spans="1:2" ht="24" customHeight="1" x14ac:dyDescent="0.15">
      <c r="A385" s="181" t="s">
        <v>974</v>
      </c>
      <c r="B385" s="368">
        <f>調査票!$J$359</f>
        <v>0</v>
      </c>
    </row>
    <row r="386" spans="1:2" ht="24" customHeight="1" x14ac:dyDescent="0.15">
      <c r="A386" s="181" t="s">
        <v>975</v>
      </c>
      <c r="B386" s="368">
        <f>調査票!$J$360</f>
        <v>0</v>
      </c>
    </row>
    <row r="387" spans="1:2" ht="24" customHeight="1" x14ac:dyDescent="0.15">
      <c r="A387" s="181" t="s">
        <v>976</v>
      </c>
      <c r="B387" s="368" t="str">
        <f>調査票!$J$361</f>
        <v/>
      </c>
    </row>
    <row r="388" spans="1:2" ht="24" customHeight="1" x14ac:dyDescent="0.15">
      <c r="A388" s="180" t="s">
        <v>977</v>
      </c>
      <c r="B388" s="368">
        <f>調査票!$L$355</f>
        <v>0</v>
      </c>
    </row>
    <row r="389" spans="1:2" ht="24" customHeight="1" x14ac:dyDescent="0.15">
      <c r="A389" s="181" t="s">
        <v>978</v>
      </c>
      <c r="B389" s="368">
        <f>調査票!$L$356</f>
        <v>0</v>
      </c>
    </row>
    <row r="390" spans="1:2" ht="24" customHeight="1" x14ac:dyDescent="0.15">
      <c r="A390" s="181" t="s">
        <v>979</v>
      </c>
      <c r="B390" s="368">
        <f>調査票!$L$357</f>
        <v>0</v>
      </c>
    </row>
    <row r="391" spans="1:2" ht="24" customHeight="1" x14ac:dyDescent="0.15">
      <c r="A391" s="181" t="s">
        <v>980</v>
      </c>
      <c r="B391" s="368">
        <f>調査票!$L$358</f>
        <v>0</v>
      </c>
    </row>
    <row r="392" spans="1:2" ht="24" customHeight="1" x14ac:dyDescent="0.15">
      <c r="A392" s="181" t="s">
        <v>981</v>
      </c>
      <c r="B392" s="368">
        <f>調査票!$L$359</f>
        <v>0</v>
      </c>
    </row>
    <row r="393" spans="1:2" ht="24" customHeight="1" x14ac:dyDescent="0.15">
      <c r="A393" s="181" t="s">
        <v>982</v>
      </c>
      <c r="B393" s="368">
        <f>調査票!$L$360</f>
        <v>0</v>
      </c>
    </row>
    <row r="394" spans="1:2" ht="24" customHeight="1" x14ac:dyDescent="0.15">
      <c r="A394" s="181" t="s">
        <v>983</v>
      </c>
      <c r="B394" s="368" t="str">
        <f>調査票!$L$361</f>
        <v/>
      </c>
    </row>
    <row r="395" spans="1:2" ht="24" customHeight="1" x14ac:dyDescent="0.15">
      <c r="A395" s="180" t="s">
        <v>984</v>
      </c>
      <c r="B395" s="368">
        <f>調査票!$N$355</f>
        <v>0</v>
      </c>
    </row>
    <row r="396" spans="1:2" ht="24" customHeight="1" x14ac:dyDescent="0.15">
      <c r="A396" s="181" t="s">
        <v>985</v>
      </c>
      <c r="B396" s="368">
        <f>調査票!$N$356</f>
        <v>0</v>
      </c>
    </row>
    <row r="397" spans="1:2" ht="24" customHeight="1" x14ac:dyDescent="0.15">
      <c r="A397" s="181" t="s">
        <v>986</v>
      </c>
      <c r="B397" s="368">
        <f>調査票!$N$357</f>
        <v>0</v>
      </c>
    </row>
    <row r="398" spans="1:2" ht="24" customHeight="1" x14ac:dyDescent="0.15">
      <c r="A398" s="181" t="s">
        <v>987</v>
      </c>
      <c r="B398" s="368">
        <f>調査票!$N$358</f>
        <v>0</v>
      </c>
    </row>
    <row r="399" spans="1:2" ht="24" customHeight="1" x14ac:dyDescent="0.15">
      <c r="A399" s="181" t="s">
        <v>988</v>
      </c>
      <c r="B399" s="368">
        <f>調査票!$N$359</f>
        <v>0</v>
      </c>
    </row>
    <row r="400" spans="1:2" ht="24" customHeight="1" x14ac:dyDescent="0.15">
      <c r="A400" s="181" t="s">
        <v>989</v>
      </c>
      <c r="B400" s="368">
        <f>調査票!$N$360</f>
        <v>0</v>
      </c>
    </row>
    <row r="401" spans="1:2" ht="24" customHeight="1" x14ac:dyDescent="0.15">
      <c r="A401" s="181" t="s">
        <v>990</v>
      </c>
      <c r="B401" s="368" t="str">
        <f>調査票!$N$361</f>
        <v/>
      </c>
    </row>
    <row r="402" spans="1:2" ht="24" customHeight="1" x14ac:dyDescent="0.15">
      <c r="A402" s="180" t="s">
        <v>991</v>
      </c>
      <c r="B402" s="368">
        <f>調査票!$P$355</f>
        <v>0</v>
      </c>
    </row>
    <row r="403" spans="1:2" ht="24" customHeight="1" x14ac:dyDescent="0.15">
      <c r="A403" s="181" t="s">
        <v>992</v>
      </c>
      <c r="B403" s="368">
        <f>調査票!$P$356</f>
        <v>0</v>
      </c>
    </row>
    <row r="404" spans="1:2" ht="24" customHeight="1" x14ac:dyDescent="0.15">
      <c r="A404" s="181" t="s">
        <v>993</v>
      </c>
      <c r="B404" s="368">
        <f>調査票!$P$357</f>
        <v>0</v>
      </c>
    </row>
    <row r="405" spans="1:2" ht="24" customHeight="1" x14ac:dyDescent="0.15">
      <c r="A405" s="181" t="s">
        <v>994</v>
      </c>
      <c r="B405" s="368">
        <f>調査票!$P$358</f>
        <v>0</v>
      </c>
    </row>
    <row r="406" spans="1:2" ht="24" customHeight="1" x14ac:dyDescent="0.15">
      <c r="A406" s="181" t="s">
        <v>995</v>
      </c>
      <c r="B406" s="368">
        <f>調査票!$P$359</f>
        <v>0</v>
      </c>
    </row>
    <row r="407" spans="1:2" ht="24" customHeight="1" x14ac:dyDescent="0.15">
      <c r="A407" s="181" t="s">
        <v>996</v>
      </c>
      <c r="B407" s="368">
        <f>調査票!$P$360</f>
        <v>0</v>
      </c>
    </row>
    <row r="408" spans="1:2" ht="24" customHeight="1" x14ac:dyDescent="0.15">
      <c r="A408" s="181" t="s">
        <v>997</v>
      </c>
      <c r="B408" s="368" t="str">
        <f>調査票!$P$361</f>
        <v/>
      </c>
    </row>
    <row r="409" spans="1:2" ht="24" customHeight="1" x14ac:dyDescent="0.15">
      <c r="A409" s="180" t="s">
        <v>998</v>
      </c>
      <c r="B409" s="368">
        <f>調査票!$R$355</f>
        <v>0</v>
      </c>
    </row>
    <row r="410" spans="1:2" ht="24" customHeight="1" x14ac:dyDescent="0.15">
      <c r="A410" s="181" t="s">
        <v>999</v>
      </c>
      <c r="B410" s="368">
        <f>調査票!$R$356</f>
        <v>0</v>
      </c>
    </row>
    <row r="411" spans="1:2" ht="24" customHeight="1" x14ac:dyDescent="0.15">
      <c r="A411" s="181" t="s">
        <v>1000</v>
      </c>
      <c r="B411" s="368">
        <f>調査票!$R$357</f>
        <v>0</v>
      </c>
    </row>
    <row r="412" spans="1:2" ht="24" customHeight="1" x14ac:dyDescent="0.15">
      <c r="A412" s="181" t="s">
        <v>1001</v>
      </c>
      <c r="B412" s="368">
        <f>調査票!$R$358</f>
        <v>0</v>
      </c>
    </row>
    <row r="413" spans="1:2" ht="24" customHeight="1" x14ac:dyDescent="0.15">
      <c r="A413" s="181" t="s">
        <v>1002</v>
      </c>
      <c r="B413" s="368">
        <f>調査票!$R$359</f>
        <v>0</v>
      </c>
    </row>
    <row r="414" spans="1:2" ht="24" customHeight="1" x14ac:dyDescent="0.15">
      <c r="A414" s="181" t="s">
        <v>1003</v>
      </c>
      <c r="B414" s="368">
        <f>調査票!$R$360</f>
        <v>0</v>
      </c>
    </row>
    <row r="415" spans="1:2" ht="24" customHeight="1" x14ac:dyDescent="0.15">
      <c r="A415" s="181" t="s">
        <v>1004</v>
      </c>
      <c r="B415" s="368" t="str">
        <f>調査票!$R$361</f>
        <v/>
      </c>
    </row>
    <row r="416" spans="1:2" ht="24" customHeight="1" x14ac:dyDescent="0.15">
      <c r="A416" s="486" t="s">
        <v>1660</v>
      </c>
      <c r="B416" s="369">
        <f>調査票!D367</f>
        <v>0</v>
      </c>
    </row>
    <row r="417" spans="1:4" ht="24" customHeight="1" x14ac:dyDescent="0.15">
      <c r="A417" s="486" t="s">
        <v>1661</v>
      </c>
      <c r="B417" s="369">
        <f>調査票!H367</f>
        <v>0</v>
      </c>
    </row>
    <row r="418" spans="1:4" ht="24" customHeight="1" x14ac:dyDescent="0.15">
      <c r="A418" s="486" t="s">
        <v>1662</v>
      </c>
      <c r="B418" s="369">
        <f>調査票!L367</f>
        <v>0</v>
      </c>
    </row>
    <row r="419" spans="1:4" ht="24" customHeight="1" x14ac:dyDescent="0.15">
      <c r="A419" s="477" t="s">
        <v>1920</v>
      </c>
      <c r="B419" s="369">
        <f>調査票!P367</f>
        <v>0</v>
      </c>
      <c r="D419" s="22" t="s">
        <v>1465</v>
      </c>
    </row>
    <row r="420" spans="1:4" ht="24" customHeight="1" x14ac:dyDescent="0.15">
      <c r="A420" s="486" t="s">
        <v>1663</v>
      </c>
      <c r="B420" s="368">
        <f>調査票!T367</f>
        <v>0</v>
      </c>
    </row>
    <row r="421" spans="1:4" ht="24" customHeight="1" x14ac:dyDescent="0.15">
      <c r="A421" s="13" t="s">
        <v>1665</v>
      </c>
      <c r="B421" s="368">
        <f>調査票!B371</f>
        <v>0</v>
      </c>
      <c r="D421" s="22" t="s">
        <v>1615</v>
      </c>
    </row>
    <row r="422" spans="1:4" ht="24" customHeight="1" x14ac:dyDescent="0.15">
      <c r="A422" s="13" t="s">
        <v>1664</v>
      </c>
      <c r="B422" s="368">
        <f>調査票!B373</f>
        <v>0</v>
      </c>
      <c r="D422" s="22" t="s">
        <v>1615</v>
      </c>
    </row>
    <row r="423" spans="1:4" ht="24" customHeight="1" x14ac:dyDescent="0.15">
      <c r="A423" s="10" t="s">
        <v>1005</v>
      </c>
      <c r="B423" s="368">
        <f>調査票!E387</f>
        <v>0</v>
      </c>
    </row>
    <row r="424" spans="1:4" ht="24" customHeight="1" x14ac:dyDescent="0.15">
      <c r="A424" s="10" t="s">
        <v>337</v>
      </c>
      <c r="B424" s="368">
        <f>調査票!E388</f>
        <v>0</v>
      </c>
    </row>
    <row r="425" spans="1:4" ht="24" customHeight="1" x14ac:dyDescent="0.15">
      <c r="A425" s="11" t="s">
        <v>338</v>
      </c>
      <c r="B425" s="368">
        <f>調査票!E389</f>
        <v>0</v>
      </c>
    </row>
    <row r="426" spans="1:4" ht="24" customHeight="1" x14ac:dyDescent="0.15">
      <c r="A426" s="11" t="s">
        <v>1666</v>
      </c>
      <c r="B426" s="368">
        <f>調査票!E390</f>
        <v>0</v>
      </c>
    </row>
    <row r="427" spans="1:4" ht="24" customHeight="1" x14ac:dyDescent="0.15">
      <c r="A427" s="12" t="s">
        <v>339</v>
      </c>
      <c r="B427" s="368">
        <f>調査票!H387</f>
        <v>0</v>
      </c>
    </row>
    <row r="428" spans="1:4" ht="24" customHeight="1" x14ac:dyDescent="0.15">
      <c r="A428" s="12" t="s">
        <v>340</v>
      </c>
      <c r="B428" s="368">
        <f>調査票!H388</f>
        <v>0</v>
      </c>
    </row>
    <row r="429" spans="1:4" ht="24" customHeight="1" x14ac:dyDescent="0.15">
      <c r="A429" s="13" t="s">
        <v>338</v>
      </c>
      <c r="B429" s="368">
        <f>調査票!H389</f>
        <v>0</v>
      </c>
    </row>
    <row r="430" spans="1:4" ht="24" customHeight="1" x14ac:dyDescent="0.15">
      <c r="A430" s="13" t="s">
        <v>1667</v>
      </c>
      <c r="B430" s="368">
        <f>調査票!H390</f>
        <v>0</v>
      </c>
    </row>
    <row r="431" spans="1:4" ht="24" customHeight="1" x14ac:dyDescent="0.15">
      <c r="A431" s="10" t="s">
        <v>341</v>
      </c>
      <c r="B431" s="368">
        <f>調査票!K387</f>
        <v>0</v>
      </c>
    </row>
    <row r="432" spans="1:4" ht="24" customHeight="1" x14ac:dyDescent="0.15">
      <c r="A432" s="10" t="s">
        <v>342</v>
      </c>
      <c r="B432" s="368">
        <f>調査票!K388</f>
        <v>0</v>
      </c>
    </row>
    <row r="433" spans="1:2" ht="24" customHeight="1" x14ac:dyDescent="0.15">
      <c r="A433" s="11" t="s">
        <v>338</v>
      </c>
      <c r="B433" s="368">
        <f>調査票!K389</f>
        <v>0</v>
      </c>
    </row>
    <row r="434" spans="1:2" ht="24" customHeight="1" x14ac:dyDescent="0.15">
      <c r="A434" s="11" t="s">
        <v>1668</v>
      </c>
      <c r="B434" s="368">
        <f>調査票!K390</f>
        <v>0</v>
      </c>
    </row>
    <row r="435" spans="1:2" ht="24" customHeight="1" x14ac:dyDescent="0.15">
      <c r="A435" s="12" t="s">
        <v>343</v>
      </c>
      <c r="B435" s="368">
        <f>調査票!N387</f>
        <v>0</v>
      </c>
    </row>
    <row r="436" spans="1:2" ht="24" customHeight="1" x14ac:dyDescent="0.15">
      <c r="A436" s="12" t="s">
        <v>344</v>
      </c>
      <c r="B436" s="368">
        <f>調査票!N388</f>
        <v>0</v>
      </c>
    </row>
    <row r="437" spans="1:2" ht="24" customHeight="1" x14ac:dyDescent="0.15">
      <c r="A437" s="13" t="s">
        <v>338</v>
      </c>
      <c r="B437" s="368">
        <f>調査票!N389</f>
        <v>0</v>
      </c>
    </row>
    <row r="438" spans="1:2" ht="24" customHeight="1" x14ac:dyDescent="0.15">
      <c r="A438" s="13" t="s">
        <v>1669</v>
      </c>
      <c r="B438" s="368">
        <f>調査票!N390</f>
        <v>0</v>
      </c>
    </row>
    <row r="439" spans="1:2" ht="24" customHeight="1" x14ac:dyDescent="0.15">
      <c r="A439" s="11" t="s">
        <v>1474</v>
      </c>
      <c r="B439" s="369">
        <f>調査票!R387</f>
        <v>0</v>
      </c>
    </row>
    <row r="440" spans="1:2" ht="24" customHeight="1" x14ac:dyDescent="0.15">
      <c r="A440" s="11" t="s">
        <v>1475</v>
      </c>
      <c r="B440" s="369">
        <f>調査票!R388</f>
        <v>0</v>
      </c>
    </row>
    <row r="441" spans="1:2" ht="24" customHeight="1" x14ac:dyDescent="0.15">
      <c r="A441" s="11" t="s">
        <v>1477</v>
      </c>
      <c r="B441" s="369">
        <f>調査票!R390</f>
        <v>0</v>
      </c>
    </row>
    <row r="442" spans="1:2" ht="24" customHeight="1" x14ac:dyDescent="0.15">
      <c r="A442" s="10" t="s">
        <v>1517</v>
      </c>
      <c r="B442" s="368">
        <f>調査票!F394</f>
        <v>0</v>
      </c>
    </row>
    <row r="443" spans="1:2" ht="24" customHeight="1" x14ac:dyDescent="0.15">
      <c r="A443" s="179" t="s">
        <v>1518</v>
      </c>
      <c r="B443" s="368">
        <f>調査票!F395</f>
        <v>0</v>
      </c>
    </row>
    <row r="444" spans="1:2" ht="24" customHeight="1" x14ac:dyDescent="0.15">
      <c r="A444" s="179" t="s">
        <v>1519</v>
      </c>
      <c r="B444" s="368">
        <f>調査票!F396</f>
        <v>0</v>
      </c>
    </row>
    <row r="445" spans="1:2" ht="24" customHeight="1" x14ac:dyDescent="0.15">
      <c r="A445" s="179" t="s">
        <v>1520</v>
      </c>
      <c r="B445" s="368">
        <f>調査票!F397</f>
        <v>0</v>
      </c>
    </row>
    <row r="446" spans="1:2" ht="24" customHeight="1" x14ac:dyDescent="0.15">
      <c r="A446" s="179" t="s">
        <v>1521</v>
      </c>
      <c r="B446" s="368">
        <f>調査票!F398</f>
        <v>0</v>
      </c>
    </row>
    <row r="447" spans="1:2" ht="24" customHeight="1" x14ac:dyDescent="0.15">
      <c r="A447" s="179" t="s">
        <v>1522</v>
      </c>
      <c r="B447" s="368">
        <f>調査票!F399</f>
        <v>0</v>
      </c>
    </row>
    <row r="448" spans="1:2" ht="24" customHeight="1" x14ac:dyDescent="0.15">
      <c r="A448" s="179" t="s">
        <v>1523</v>
      </c>
      <c r="B448" s="368" t="str">
        <f>調査票!F400</f>
        <v/>
      </c>
    </row>
    <row r="449" spans="1:2" ht="24" customHeight="1" x14ac:dyDescent="0.15">
      <c r="A449" s="179" t="s">
        <v>1524</v>
      </c>
      <c r="B449" s="368">
        <f>調査票!H394</f>
        <v>0</v>
      </c>
    </row>
    <row r="450" spans="1:2" ht="24" customHeight="1" x14ac:dyDescent="0.15">
      <c r="A450" s="11" t="s">
        <v>1525</v>
      </c>
      <c r="B450" s="368">
        <f>調査票!H395</f>
        <v>0</v>
      </c>
    </row>
    <row r="451" spans="1:2" ht="24" customHeight="1" x14ac:dyDescent="0.15">
      <c r="A451" s="11" t="s">
        <v>1526</v>
      </c>
      <c r="B451" s="368">
        <f>調査票!H396</f>
        <v>0</v>
      </c>
    </row>
    <row r="452" spans="1:2" ht="24" customHeight="1" x14ac:dyDescent="0.15">
      <c r="A452" s="11" t="s">
        <v>1527</v>
      </c>
      <c r="B452" s="368">
        <f>調査票!H397</f>
        <v>0</v>
      </c>
    </row>
    <row r="453" spans="1:2" ht="24" customHeight="1" x14ac:dyDescent="0.15">
      <c r="A453" s="11" t="s">
        <v>1528</v>
      </c>
      <c r="B453" s="368">
        <f>調査票!H398</f>
        <v>0</v>
      </c>
    </row>
    <row r="454" spans="1:2" ht="24" customHeight="1" x14ac:dyDescent="0.15">
      <c r="A454" s="11" t="s">
        <v>1529</v>
      </c>
      <c r="B454" s="368">
        <f>調査票!H399</f>
        <v>0</v>
      </c>
    </row>
    <row r="455" spans="1:2" ht="24" customHeight="1" x14ac:dyDescent="0.15">
      <c r="A455" s="11" t="s">
        <v>1530</v>
      </c>
      <c r="B455" s="368" t="str">
        <f>調査票!H400</f>
        <v/>
      </c>
    </row>
    <row r="456" spans="1:2" ht="24" customHeight="1" x14ac:dyDescent="0.15">
      <c r="A456" s="179" t="s">
        <v>1531</v>
      </c>
      <c r="B456" s="368">
        <f>調査票!J394</f>
        <v>0</v>
      </c>
    </row>
    <row r="457" spans="1:2" ht="24" customHeight="1" x14ac:dyDescent="0.15">
      <c r="A457" s="11" t="s">
        <v>1532</v>
      </c>
      <c r="B457" s="368">
        <f>調査票!J395</f>
        <v>0</v>
      </c>
    </row>
    <row r="458" spans="1:2" ht="24" customHeight="1" x14ac:dyDescent="0.15">
      <c r="A458" s="11" t="s">
        <v>1533</v>
      </c>
      <c r="B458" s="368">
        <f>調査票!J396</f>
        <v>0</v>
      </c>
    </row>
    <row r="459" spans="1:2" ht="24" customHeight="1" x14ac:dyDescent="0.15">
      <c r="A459" s="11" t="s">
        <v>1534</v>
      </c>
      <c r="B459" s="368">
        <f>調査票!J397</f>
        <v>0</v>
      </c>
    </row>
    <row r="460" spans="1:2" ht="24" customHeight="1" x14ac:dyDescent="0.15">
      <c r="A460" s="11" t="s">
        <v>1535</v>
      </c>
      <c r="B460" s="368">
        <f>調査票!J398</f>
        <v>0</v>
      </c>
    </row>
    <row r="461" spans="1:2" ht="24" customHeight="1" x14ac:dyDescent="0.15">
      <c r="A461" s="11" t="s">
        <v>1536</v>
      </c>
      <c r="B461" s="368">
        <f>調査票!J399</f>
        <v>0</v>
      </c>
    </row>
    <row r="462" spans="1:2" ht="24" customHeight="1" x14ac:dyDescent="0.15">
      <c r="A462" s="11" t="s">
        <v>1537</v>
      </c>
      <c r="B462" s="368" t="str">
        <f>調査票!J400</f>
        <v/>
      </c>
    </row>
    <row r="463" spans="1:2" ht="24" customHeight="1" x14ac:dyDescent="0.15">
      <c r="A463" s="179" t="s">
        <v>1538</v>
      </c>
      <c r="B463" s="368">
        <f>調査票!L394</f>
        <v>0</v>
      </c>
    </row>
    <row r="464" spans="1:2" ht="24" customHeight="1" x14ac:dyDescent="0.15">
      <c r="A464" s="11" t="s">
        <v>1539</v>
      </c>
      <c r="B464" s="368">
        <f>調査票!L395</f>
        <v>0</v>
      </c>
    </row>
    <row r="465" spans="1:2" ht="24" customHeight="1" x14ac:dyDescent="0.15">
      <c r="A465" s="11" t="s">
        <v>1540</v>
      </c>
      <c r="B465" s="368">
        <f>調査票!L396</f>
        <v>0</v>
      </c>
    </row>
    <row r="466" spans="1:2" ht="24" customHeight="1" x14ac:dyDescent="0.15">
      <c r="A466" s="11" t="s">
        <v>1541</v>
      </c>
      <c r="B466" s="368">
        <f>調査票!L397</f>
        <v>0</v>
      </c>
    </row>
    <row r="467" spans="1:2" ht="24" customHeight="1" x14ac:dyDescent="0.15">
      <c r="A467" s="11" t="s">
        <v>1542</v>
      </c>
      <c r="B467" s="368">
        <f>調査票!L398</f>
        <v>0</v>
      </c>
    </row>
    <row r="468" spans="1:2" ht="24" customHeight="1" x14ac:dyDescent="0.15">
      <c r="A468" s="11" t="s">
        <v>1543</v>
      </c>
      <c r="B468" s="368">
        <f>調査票!L399</f>
        <v>0</v>
      </c>
    </row>
    <row r="469" spans="1:2" ht="24" customHeight="1" x14ac:dyDescent="0.15">
      <c r="A469" s="11" t="s">
        <v>1544</v>
      </c>
      <c r="B469" s="368" t="str">
        <f>調査票!L400</f>
        <v/>
      </c>
    </row>
    <row r="470" spans="1:2" ht="24" customHeight="1" x14ac:dyDescent="0.15">
      <c r="A470" s="179" t="s">
        <v>1545</v>
      </c>
      <c r="B470" s="368">
        <f>調査票!N394</f>
        <v>0</v>
      </c>
    </row>
    <row r="471" spans="1:2" ht="24" customHeight="1" x14ac:dyDescent="0.15">
      <c r="A471" s="11" t="s">
        <v>1546</v>
      </c>
      <c r="B471" s="368">
        <f>調査票!N395</f>
        <v>0</v>
      </c>
    </row>
    <row r="472" spans="1:2" ht="24" customHeight="1" x14ac:dyDescent="0.15">
      <c r="A472" s="11" t="s">
        <v>1547</v>
      </c>
      <c r="B472" s="368">
        <f>調査票!N396</f>
        <v>0</v>
      </c>
    </row>
    <row r="473" spans="1:2" ht="24" customHeight="1" x14ac:dyDescent="0.15">
      <c r="A473" s="11" t="s">
        <v>1548</v>
      </c>
      <c r="B473" s="368">
        <f>調査票!N397</f>
        <v>0</v>
      </c>
    </row>
    <row r="474" spans="1:2" ht="24" customHeight="1" x14ac:dyDescent="0.15">
      <c r="A474" s="11" t="s">
        <v>1549</v>
      </c>
      <c r="B474" s="368">
        <f>調査票!N398</f>
        <v>0</v>
      </c>
    </row>
    <row r="475" spans="1:2" ht="24" customHeight="1" x14ac:dyDescent="0.15">
      <c r="A475" s="11" t="s">
        <v>1550</v>
      </c>
      <c r="B475" s="368">
        <f>調査票!N399</f>
        <v>0</v>
      </c>
    </row>
    <row r="476" spans="1:2" ht="24" customHeight="1" x14ac:dyDescent="0.15">
      <c r="A476" s="11" t="s">
        <v>1551</v>
      </c>
      <c r="B476" s="368" t="str">
        <f>調査票!N400</f>
        <v/>
      </c>
    </row>
    <row r="477" spans="1:2" ht="24" customHeight="1" x14ac:dyDescent="0.15">
      <c r="A477" s="179" t="s">
        <v>1552</v>
      </c>
      <c r="B477" s="368">
        <f>調査票!P394</f>
        <v>0</v>
      </c>
    </row>
    <row r="478" spans="1:2" ht="24" customHeight="1" x14ac:dyDescent="0.15">
      <c r="A478" s="11" t="s">
        <v>1553</v>
      </c>
      <c r="B478" s="368">
        <f>調査票!P395</f>
        <v>0</v>
      </c>
    </row>
    <row r="479" spans="1:2" ht="24" customHeight="1" x14ac:dyDescent="0.15">
      <c r="A479" s="11" t="s">
        <v>1554</v>
      </c>
      <c r="B479" s="368">
        <f>調査票!P396</f>
        <v>0</v>
      </c>
    </row>
    <row r="480" spans="1:2" ht="24" customHeight="1" x14ac:dyDescent="0.15">
      <c r="A480" s="11" t="s">
        <v>1555</v>
      </c>
      <c r="B480" s="368">
        <f>調査票!P397</f>
        <v>0</v>
      </c>
    </row>
    <row r="481" spans="1:2" ht="24" customHeight="1" x14ac:dyDescent="0.15">
      <c r="A481" s="11" t="s">
        <v>1556</v>
      </c>
      <c r="B481" s="368">
        <f>調査票!P398</f>
        <v>0</v>
      </c>
    </row>
    <row r="482" spans="1:2" ht="24" customHeight="1" x14ac:dyDescent="0.15">
      <c r="A482" s="11" t="s">
        <v>1557</v>
      </c>
      <c r="B482" s="368">
        <f>調査票!P399</f>
        <v>0</v>
      </c>
    </row>
    <row r="483" spans="1:2" ht="24" customHeight="1" x14ac:dyDescent="0.15">
      <c r="A483" s="11" t="s">
        <v>1558</v>
      </c>
      <c r="B483" s="368" t="str">
        <f>調査票!P400</f>
        <v/>
      </c>
    </row>
    <row r="484" spans="1:2" ht="24" customHeight="1" x14ac:dyDescent="0.15">
      <c r="A484" s="179" t="s">
        <v>1559</v>
      </c>
      <c r="B484" s="368">
        <f>調査票!R394</f>
        <v>0</v>
      </c>
    </row>
    <row r="485" spans="1:2" ht="24" customHeight="1" x14ac:dyDescent="0.15">
      <c r="A485" s="11" t="s">
        <v>1560</v>
      </c>
      <c r="B485" s="368">
        <f>調査票!R395</f>
        <v>0</v>
      </c>
    </row>
    <row r="486" spans="1:2" ht="24" customHeight="1" x14ac:dyDescent="0.15">
      <c r="A486" s="11" t="s">
        <v>1561</v>
      </c>
      <c r="B486" s="368">
        <f>調査票!R396</f>
        <v>0</v>
      </c>
    </row>
    <row r="487" spans="1:2" ht="24" customHeight="1" x14ac:dyDescent="0.15">
      <c r="A487" s="11" t="s">
        <v>1562</v>
      </c>
      <c r="B487" s="368">
        <f>調査票!R397</f>
        <v>0</v>
      </c>
    </row>
    <row r="488" spans="1:2" ht="24" customHeight="1" x14ac:dyDescent="0.15">
      <c r="A488" s="11" t="s">
        <v>1563</v>
      </c>
      <c r="B488" s="368">
        <f>調査票!R398</f>
        <v>0</v>
      </c>
    </row>
    <row r="489" spans="1:2" ht="24" customHeight="1" x14ac:dyDescent="0.15">
      <c r="A489" s="11" t="s">
        <v>1564</v>
      </c>
      <c r="B489" s="368">
        <f>調査票!R399</f>
        <v>0</v>
      </c>
    </row>
    <row r="490" spans="1:2" ht="24" customHeight="1" x14ac:dyDescent="0.15">
      <c r="A490" s="11" t="s">
        <v>1565</v>
      </c>
      <c r="B490" s="368" t="str">
        <f>調査票!R400</f>
        <v/>
      </c>
    </row>
    <row r="491" spans="1:2" ht="24" customHeight="1" x14ac:dyDescent="0.15">
      <c r="A491" s="180" t="s">
        <v>1566</v>
      </c>
      <c r="B491" s="368">
        <f>調査票!F402</f>
        <v>0</v>
      </c>
    </row>
    <row r="492" spans="1:2" ht="24" customHeight="1" x14ac:dyDescent="0.15">
      <c r="A492" s="180" t="s">
        <v>1567</v>
      </c>
      <c r="B492" s="368">
        <f>調査票!F403</f>
        <v>0</v>
      </c>
    </row>
    <row r="493" spans="1:2" ht="24" customHeight="1" x14ac:dyDescent="0.15">
      <c r="A493" s="180" t="s">
        <v>1568</v>
      </c>
      <c r="B493" s="368">
        <f>調査票!F404</f>
        <v>0</v>
      </c>
    </row>
    <row r="494" spans="1:2" ht="24" customHeight="1" x14ac:dyDescent="0.15">
      <c r="A494" s="180" t="s">
        <v>1569</v>
      </c>
      <c r="B494" s="368">
        <f>調査票!F405</f>
        <v>0</v>
      </c>
    </row>
    <row r="495" spans="1:2" ht="24" customHeight="1" x14ac:dyDescent="0.15">
      <c r="A495" s="180" t="s">
        <v>1570</v>
      </c>
      <c r="B495" s="368">
        <f>調査票!F406</f>
        <v>0</v>
      </c>
    </row>
    <row r="496" spans="1:2" ht="24" customHeight="1" x14ac:dyDescent="0.15">
      <c r="A496" s="180" t="s">
        <v>1571</v>
      </c>
      <c r="B496" s="368">
        <f>調査票!F407</f>
        <v>0</v>
      </c>
    </row>
    <row r="497" spans="1:2" ht="24" customHeight="1" x14ac:dyDescent="0.15">
      <c r="A497" s="180" t="s">
        <v>1572</v>
      </c>
      <c r="B497" s="368" t="str">
        <f>調査票!F408</f>
        <v/>
      </c>
    </row>
    <row r="498" spans="1:2" ht="24" customHeight="1" x14ac:dyDescent="0.15">
      <c r="A498" s="180" t="s">
        <v>1573</v>
      </c>
      <c r="B498" s="368">
        <f>調査票!H402</f>
        <v>0</v>
      </c>
    </row>
    <row r="499" spans="1:2" ht="24" customHeight="1" x14ac:dyDescent="0.15">
      <c r="A499" s="181" t="s">
        <v>1574</v>
      </c>
      <c r="B499" s="368">
        <f>調査票!H403</f>
        <v>0</v>
      </c>
    </row>
    <row r="500" spans="1:2" ht="24" customHeight="1" x14ac:dyDescent="0.15">
      <c r="A500" s="181" t="s">
        <v>1575</v>
      </c>
      <c r="B500" s="368">
        <f>調査票!H404</f>
        <v>0</v>
      </c>
    </row>
    <row r="501" spans="1:2" ht="24" customHeight="1" x14ac:dyDescent="0.15">
      <c r="A501" s="181" t="s">
        <v>1576</v>
      </c>
      <c r="B501" s="368">
        <f>調査票!H405</f>
        <v>0</v>
      </c>
    </row>
    <row r="502" spans="1:2" ht="24" customHeight="1" x14ac:dyDescent="0.15">
      <c r="A502" s="181" t="s">
        <v>1577</v>
      </c>
      <c r="B502" s="368">
        <f>調査票!H406</f>
        <v>0</v>
      </c>
    </row>
    <row r="503" spans="1:2" ht="24" customHeight="1" x14ac:dyDescent="0.15">
      <c r="A503" s="181" t="s">
        <v>1578</v>
      </c>
      <c r="B503" s="368">
        <f>調査票!H407</f>
        <v>0</v>
      </c>
    </row>
    <row r="504" spans="1:2" ht="24" customHeight="1" x14ac:dyDescent="0.15">
      <c r="A504" s="181" t="s">
        <v>1579</v>
      </c>
      <c r="B504" s="368" t="str">
        <f>調査票!H408</f>
        <v/>
      </c>
    </row>
    <row r="505" spans="1:2" ht="24" customHeight="1" x14ac:dyDescent="0.15">
      <c r="A505" s="180" t="s">
        <v>1580</v>
      </c>
      <c r="B505" s="368">
        <f>調査票!J402</f>
        <v>0</v>
      </c>
    </row>
    <row r="506" spans="1:2" ht="24" customHeight="1" x14ac:dyDescent="0.15">
      <c r="A506" s="181" t="s">
        <v>1581</v>
      </c>
      <c r="B506" s="368">
        <f>調査票!J403</f>
        <v>0</v>
      </c>
    </row>
    <row r="507" spans="1:2" ht="24" customHeight="1" x14ac:dyDescent="0.15">
      <c r="A507" s="181" t="s">
        <v>1582</v>
      </c>
      <c r="B507" s="368">
        <f>調査票!J404</f>
        <v>0</v>
      </c>
    </row>
    <row r="508" spans="1:2" ht="24" customHeight="1" x14ac:dyDescent="0.15">
      <c r="A508" s="181" t="s">
        <v>1583</v>
      </c>
      <c r="B508" s="368">
        <f>調査票!J405</f>
        <v>0</v>
      </c>
    </row>
    <row r="509" spans="1:2" ht="24" customHeight="1" x14ac:dyDescent="0.15">
      <c r="A509" s="181" t="s">
        <v>1584</v>
      </c>
      <c r="B509" s="368">
        <f>調査票!J406</f>
        <v>0</v>
      </c>
    </row>
    <row r="510" spans="1:2" ht="24" customHeight="1" x14ac:dyDescent="0.15">
      <c r="A510" s="181" t="s">
        <v>1585</v>
      </c>
      <c r="B510" s="368">
        <f>調査票!J407</f>
        <v>0</v>
      </c>
    </row>
    <row r="511" spans="1:2" ht="24" customHeight="1" x14ac:dyDescent="0.15">
      <c r="A511" s="181" t="s">
        <v>1586</v>
      </c>
      <c r="B511" s="368" t="str">
        <f>調査票!J408</f>
        <v/>
      </c>
    </row>
    <row r="512" spans="1:2" ht="24" customHeight="1" x14ac:dyDescent="0.15">
      <c r="A512" s="180" t="s">
        <v>1587</v>
      </c>
      <c r="B512" s="368">
        <f>調査票!L402</f>
        <v>0</v>
      </c>
    </row>
    <row r="513" spans="1:2" ht="24" customHeight="1" x14ac:dyDescent="0.15">
      <c r="A513" s="181" t="s">
        <v>1588</v>
      </c>
      <c r="B513" s="368">
        <f>調査票!L403</f>
        <v>0</v>
      </c>
    </row>
    <row r="514" spans="1:2" ht="24" customHeight="1" x14ac:dyDescent="0.15">
      <c r="A514" s="181" t="s">
        <v>1589</v>
      </c>
      <c r="B514" s="368">
        <f>調査票!L404</f>
        <v>0</v>
      </c>
    </row>
    <row r="515" spans="1:2" ht="24" customHeight="1" x14ac:dyDescent="0.15">
      <c r="A515" s="181" t="s">
        <v>1590</v>
      </c>
      <c r="B515" s="368">
        <f>調査票!L405</f>
        <v>0</v>
      </c>
    </row>
    <row r="516" spans="1:2" ht="24" customHeight="1" x14ac:dyDescent="0.15">
      <c r="A516" s="181" t="s">
        <v>1591</v>
      </c>
      <c r="B516" s="368">
        <f>調査票!L406</f>
        <v>0</v>
      </c>
    </row>
    <row r="517" spans="1:2" ht="24" customHeight="1" x14ac:dyDescent="0.15">
      <c r="A517" s="181" t="s">
        <v>1592</v>
      </c>
      <c r="B517" s="368">
        <f>調査票!L407</f>
        <v>0</v>
      </c>
    </row>
    <row r="518" spans="1:2" ht="24" customHeight="1" x14ac:dyDescent="0.15">
      <c r="A518" s="181" t="s">
        <v>1593</v>
      </c>
      <c r="B518" s="368" t="str">
        <f>調査票!L408</f>
        <v/>
      </c>
    </row>
    <row r="519" spans="1:2" ht="24" customHeight="1" x14ac:dyDescent="0.15">
      <c r="A519" s="180" t="s">
        <v>1594</v>
      </c>
      <c r="B519" s="368">
        <f>調査票!N402</f>
        <v>0</v>
      </c>
    </row>
    <row r="520" spans="1:2" ht="24" customHeight="1" x14ac:dyDescent="0.15">
      <c r="A520" s="181" t="s">
        <v>1595</v>
      </c>
      <c r="B520" s="368">
        <f>調査票!N403</f>
        <v>0</v>
      </c>
    </row>
    <row r="521" spans="1:2" ht="24" customHeight="1" x14ac:dyDescent="0.15">
      <c r="A521" s="181" t="s">
        <v>1596</v>
      </c>
      <c r="B521" s="368">
        <f>調査票!N404</f>
        <v>0</v>
      </c>
    </row>
    <row r="522" spans="1:2" ht="24" customHeight="1" x14ac:dyDescent="0.15">
      <c r="A522" s="181" t="s">
        <v>1597</v>
      </c>
      <c r="B522" s="368">
        <f>調査票!N405</f>
        <v>0</v>
      </c>
    </row>
    <row r="523" spans="1:2" ht="24" customHeight="1" x14ac:dyDescent="0.15">
      <c r="A523" s="181" t="s">
        <v>1598</v>
      </c>
      <c r="B523" s="368">
        <f>調査票!N406</f>
        <v>0</v>
      </c>
    </row>
    <row r="524" spans="1:2" ht="24" customHeight="1" x14ac:dyDescent="0.15">
      <c r="A524" s="181" t="s">
        <v>1599</v>
      </c>
      <c r="B524" s="368">
        <f>調査票!N407</f>
        <v>0</v>
      </c>
    </row>
    <row r="525" spans="1:2" ht="24" customHeight="1" x14ac:dyDescent="0.15">
      <c r="A525" s="181" t="s">
        <v>1600</v>
      </c>
      <c r="B525" s="368" t="str">
        <f>調査票!N408</f>
        <v/>
      </c>
    </row>
    <row r="526" spans="1:2" ht="24" customHeight="1" x14ac:dyDescent="0.15">
      <c r="A526" s="180" t="s">
        <v>1601</v>
      </c>
      <c r="B526" s="368">
        <f>調査票!P402</f>
        <v>0</v>
      </c>
    </row>
    <row r="527" spans="1:2" ht="24" customHeight="1" x14ac:dyDescent="0.15">
      <c r="A527" s="181" t="s">
        <v>1602</v>
      </c>
      <c r="B527" s="368">
        <f>調査票!P403</f>
        <v>0</v>
      </c>
    </row>
    <row r="528" spans="1:2" ht="24" customHeight="1" x14ac:dyDescent="0.15">
      <c r="A528" s="181" t="s">
        <v>1603</v>
      </c>
      <c r="B528" s="368">
        <f>調査票!P404</f>
        <v>0</v>
      </c>
    </row>
    <row r="529" spans="1:2" ht="24" customHeight="1" x14ac:dyDescent="0.15">
      <c r="A529" s="181" t="s">
        <v>1604</v>
      </c>
      <c r="B529" s="368">
        <f>調査票!P405</f>
        <v>0</v>
      </c>
    </row>
    <row r="530" spans="1:2" ht="24" customHeight="1" x14ac:dyDescent="0.15">
      <c r="A530" s="181" t="s">
        <v>1605</v>
      </c>
      <c r="B530" s="368">
        <f>調査票!P406</f>
        <v>0</v>
      </c>
    </row>
    <row r="531" spans="1:2" ht="24" customHeight="1" x14ac:dyDescent="0.15">
      <c r="A531" s="181" t="s">
        <v>1606</v>
      </c>
      <c r="B531" s="368">
        <f>調査票!P407</f>
        <v>0</v>
      </c>
    </row>
    <row r="532" spans="1:2" ht="24" customHeight="1" x14ac:dyDescent="0.15">
      <c r="A532" s="181" t="s">
        <v>1607</v>
      </c>
      <c r="B532" s="368" t="str">
        <f>調査票!P408</f>
        <v/>
      </c>
    </row>
    <row r="533" spans="1:2" ht="24" customHeight="1" x14ac:dyDescent="0.15">
      <c r="A533" s="180" t="s">
        <v>1608</v>
      </c>
      <c r="B533" s="368">
        <f>調査票!R402</f>
        <v>0</v>
      </c>
    </row>
    <row r="534" spans="1:2" ht="24" customHeight="1" x14ac:dyDescent="0.15">
      <c r="A534" s="181" t="s">
        <v>1609</v>
      </c>
      <c r="B534" s="368">
        <f>調査票!R403</f>
        <v>0</v>
      </c>
    </row>
    <row r="535" spans="1:2" ht="24" customHeight="1" x14ac:dyDescent="0.15">
      <c r="A535" s="181" t="s">
        <v>1610</v>
      </c>
      <c r="B535" s="368">
        <f>調査票!R404</f>
        <v>0</v>
      </c>
    </row>
    <row r="536" spans="1:2" ht="24" customHeight="1" x14ac:dyDescent="0.15">
      <c r="A536" s="181" t="s">
        <v>1611</v>
      </c>
      <c r="B536" s="368">
        <f>調査票!R405</f>
        <v>0</v>
      </c>
    </row>
    <row r="537" spans="1:2" ht="24" customHeight="1" x14ac:dyDescent="0.15">
      <c r="A537" s="181" t="s">
        <v>1612</v>
      </c>
      <c r="B537" s="368">
        <f>調査票!R406</f>
        <v>0</v>
      </c>
    </row>
    <row r="538" spans="1:2" ht="24" customHeight="1" x14ac:dyDescent="0.15">
      <c r="A538" s="181" t="s">
        <v>1613</v>
      </c>
      <c r="B538" s="368">
        <f>調査票!R407</f>
        <v>0</v>
      </c>
    </row>
    <row r="539" spans="1:2" ht="24" customHeight="1" x14ac:dyDescent="0.15">
      <c r="A539" s="181" t="s">
        <v>1614</v>
      </c>
      <c r="B539" s="368" t="str">
        <f>調査票!R408</f>
        <v/>
      </c>
    </row>
    <row r="540" spans="1:2" ht="24" customHeight="1" x14ac:dyDescent="0.15">
      <c r="A540" s="10" t="s">
        <v>1006</v>
      </c>
      <c r="B540" s="369">
        <f>調査票!$I426</f>
        <v>0</v>
      </c>
    </row>
    <row r="541" spans="1:2" ht="24" customHeight="1" x14ac:dyDescent="0.15">
      <c r="A541" s="10" t="s">
        <v>280</v>
      </c>
      <c r="B541" s="369">
        <f>調査票!$M426</f>
        <v>0</v>
      </c>
    </row>
    <row r="542" spans="1:2" ht="24" customHeight="1" x14ac:dyDescent="0.15">
      <c r="A542" s="10" t="s">
        <v>281</v>
      </c>
      <c r="B542" s="369">
        <f>調査票!$I427</f>
        <v>0</v>
      </c>
    </row>
    <row r="543" spans="1:2" ht="24" customHeight="1" x14ac:dyDescent="0.15">
      <c r="A543" s="10" t="s">
        <v>282</v>
      </c>
      <c r="B543" s="369">
        <f>調査票!$M427</f>
        <v>0</v>
      </c>
    </row>
    <row r="544" spans="1:2" ht="24" customHeight="1" x14ac:dyDescent="0.15">
      <c r="A544" s="12" t="s">
        <v>283</v>
      </c>
      <c r="B544" s="369">
        <f>調査票!$I428</f>
        <v>0</v>
      </c>
    </row>
    <row r="545" spans="1:4" ht="24" customHeight="1" x14ac:dyDescent="0.15">
      <c r="A545" s="12" t="s">
        <v>284</v>
      </c>
      <c r="B545" s="369">
        <f>調査票!$M428</f>
        <v>0</v>
      </c>
    </row>
    <row r="546" spans="1:4" ht="24" customHeight="1" x14ac:dyDescent="0.15">
      <c r="A546" s="12" t="s">
        <v>285</v>
      </c>
      <c r="B546" s="369">
        <f>調査票!$I429</f>
        <v>0</v>
      </c>
    </row>
    <row r="547" spans="1:4" ht="24" customHeight="1" x14ac:dyDescent="0.15">
      <c r="A547" s="12" t="s">
        <v>286</v>
      </c>
      <c r="B547" s="369">
        <f>調査票!$M429</f>
        <v>0</v>
      </c>
    </row>
    <row r="548" spans="1:4" ht="24" customHeight="1" x14ac:dyDescent="0.15">
      <c r="A548" s="10" t="s">
        <v>287</v>
      </c>
      <c r="B548" s="369">
        <f>調査票!$I430</f>
        <v>0</v>
      </c>
    </row>
    <row r="549" spans="1:4" ht="24" customHeight="1" x14ac:dyDescent="0.15">
      <c r="A549" s="10" t="s">
        <v>288</v>
      </c>
      <c r="B549" s="369">
        <f>調査票!$M430</f>
        <v>0</v>
      </c>
    </row>
    <row r="550" spans="1:4" ht="24" customHeight="1" x14ac:dyDescent="0.15">
      <c r="A550" s="10" t="s">
        <v>289</v>
      </c>
      <c r="B550" s="369">
        <f>調査票!$I431</f>
        <v>0</v>
      </c>
    </row>
    <row r="551" spans="1:4" ht="24" customHeight="1" x14ac:dyDescent="0.15">
      <c r="A551" s="10" t="s">
        <v>290</v>
      </c>
      <c r="B551" s="369">
        <f>調査票!$M431</f>
        <v>0</v>
      </c>
    </row>
    <row r="552" spans="1:4" ht="24" customHeight="1" x14ac:dyDescent="0.15">
      <c r="A552" s="12" t="s">
        <v>291</v>
      </c>
      <c r="B552" s="369">
        <f>調査票!$I432</f>
        <v>0</v>
      </c>
    </row>
    <row r="553" spans="1:4" ht="24" customHeight="1" x14ac:dyDescent="0.15">
      <c r="A553" s="12" t="s">
        <v>292</v>
      </c>
      <c r="B553" s="369">
        <f>調査票!$M432</f>
        <v>0</v>
      </c>
    </row>
    <row r="554" spans="1:4" ht="24" customHeight="1" x14ac:dyDescent="0.15">
      <c r="A554" s="12" t="s">
        <v>293</v>
      </c>
      <c r="B554" s="369">
        <f>調査票!$I433</f>
        <v>0</v>
      </c>
    </row>
    <row r="555" spans="1:4" ht="24" customHeight="1" x14ac:dyDescent="0.15">
      <c r="A555" s="12" t="s">
        <v>294</v>
      </c>
      <c r="B555" s="369">
        <f>調査票!$M433</f>
        <v>0</v>
      </c>
    </row>
    <row r="556" spans="1:4" ht="24" customHeight="1" x14ac:dyDescent="0.15">
      <c r="A556" s="5" t="s">
        <v>1007</v>
      </c>
      <c r="B556" s="369">
        <f>調査票!L447</f>
        <v>0</v>
      </c>
    </row>
    <row r="557" spans="1:4" ht="24" customHeight="1" x14ac:dyDescent="0.15">
      <c r="A557" s="14" t="s">
        <v>1464</v>
      </c>
      <c r="B557" s="369">
        <f>調査票!L448</f>
        <v>0</v>
      </c>
    </row>
    <row r="558" spans="1:4" ht="24" customHeight="1" x14ac:dyDescent="0.15">
      <c r="A558" s="14" t="s">
        <v>295</v>
      </c>
      <c r="B558" s="369">
        <f>調査票!L449</f>
        <v>0</v>
      </c>
    </row>
    <row r="559" spans="1:4" ht="24" customHeight="1" x14ac:dyDescent="0.15">
      <c r="A559" s="5" t="s">
        <v>296</v>
      </c>
      <c r="B559" s="369">
        <f>調査票!L450</f>
        <v>0</v>
      </c>
    </row>
    <row r="560" spans="1:4" ht="24" customHeight="1" x14ac:dyDescent="0.15">
      <c r="A560" s="175" t="s">
        <v>1461</v>
      </c>
      <c r="B560" s="369">
        <f>調査票!B457</f>
        <v>0</v>
      </c>
      <c r="D560" s="22" t="s">
        <v>1615</v>
      </c>
    </row>
    <row r="561" spans="1:4" ht="24" customHeight="1" x14ac:dyDescent="0.15">
      <c r="A561" s="175" t="s">
        <v>1462</v>
      </c>
      <c r="B561" s="369">
        <f>調査票!I457</f>
        <v>0</v>
      </c>
      <c r="D561" s="22" t="s">
        <v>1615</v>
      </c>
    </row>
    <row r="562" spans="1:4" ht="24" customHeight="1" x14ac:dyDescent="0.15">
      <c r="A562" s="175" t="s">
        <v>1463</v>
      </c>
      <c r="B562" s="369" t="e">
        <f>調査票!#REF!</f>
        <v>#REF!</v>
      </c>
      <c r="D562" s="22" t="s">
        <v>1615</v>
      </c>
    </row>
    <row r="563" spans="1:4" ht="24" customHeight="1" x14ac:dyDescent="0.15">
      <c r="A563" s="5" t="s">
        <v>1091</v>
      </c>
      <c r="B563" s="368">
        <f>調査票!D505</f>
        <v>0</v>
      </c>
    </row>
    <row r="564" spans="1:4" ht="24" customHeight="1" x14ac:dyDescent="0.15">
      <c r="A564" s="5" t="s">
        <v>1068</v>
      </c>
      <c r="B564" s="368">
        <f>調査票!I505</f>
        <v>0</v>
      </c>
    </row>
    <row r="565" spans="1:4" ht="24" customHeight="1" x14ac:dyDescent="0.15">
      <c r="A565" s="5" t="s">
        <v>1069</v>
      </c>
      <c r="B565" s="368">
        <f>調査票!P505</f>
        <v>0</v>
      </c>
    </row>
    <row r="566" spans="1:4" ht="24" customHeight="1" x14ac:dyDescent="0.15">
      <c r="A566" s="5" t="s">
        <v>345</v>
      </c>
      <c r="B566" s="369">
        <f>調査票!E507</f>
        <v>0</v>
      </c>
    </row>
    <row r="567" spans="1:4" ht="24" customHeight="1" x14ac:dyDescent="0.15">
      <c r="A567" s="5" t="s">
        <v>346</v>
      </c>
      <c r="B567" s="369">
        <f>調査票!E508</f>
        <v>0</v>
      </c>
    </row>
    <row r="568" spans="1:4" ht="24" customHeight="1" x14ac:dyDescent="0.15">
      <c r="A568" s="5" t="s">
        <v>347</v>
      </c>
      <c r="B568" s="369">
        <f>調査票!E509</f>
        <v>0</v>
      </c>
    </row>
    <row r="569" spans="1:4" ht="24" customHeight="1" x14ac:dyDescent="0.15">
      <c r="A569" s="5" t="s">
        <v>348</v>
      </c>
      <c r="B569" s="369">
        <f>調査票!E510</f>
        <v>0</v>
      </c>
    </row>
    <row r="570" spans="1:4" ht="24" customHeight="1" x14ac:dyDescent="0.15">
      <c r="A570" s="5" t="s">
        <v>349</v>
      </c>
      <c r="B570" s="369">
        <f>調査票!E512</f>
        <v>0</v>
      </c>
    </row>
    <row r="571" spans="1:4" ht="24" customHeight="1" x14ac:dyDescent="0.15">
      <c r="A571" s="5" t="s">
        <v>350</v>
      </c>
      <c r="B571" s="369">
        <f>調査票!E513</f>
        <v>0</v>
      </c>
    </row>
    <row r="572" spans="1:4" ht="24" customHeight="1" x14ac:dyDescent="0.15">
      <c r="A572" s="5" t="s">
        <v>351</v>
      </c>
      <c r="B572" s="369">
        <f>調査票!E515</f>
        <v>0</v>
      </c>
    </row>
    <row r="573" spans="1:4" ht="24" customHeight="1" x14ac:dyDescent="0.15">
      <c r="A573" s="5" t="s">
        <v>352</v>
      </c>
      <c r="B573" s="369">
        <f>調査票!E516</f>
        <v>0</v>
      </c>
    </row>
    <row r="574" spans="1:4" ht="24" customHeight="1" x14ac:dyDescent="0.15">
      <c r="A574" s="5" t="s">
        <v>353</v>
      </c>
      <c r="B574" s="369">
        <f>調査票!E517</f>
        <v>0</v>
      </c>
    </row>
    <row r="575" spans="1:4" ht="24" customHeight="1" x14ac:dyDescent="0.15">
      <c r="A575" s="5" t="s">
        <v>354</v>
      </c>
      <c r="B575" s="369">
        <f>調査票!E518</f>
        <v>0</v>
      </c>
    </row>
    <row r="576" spans="1:4" ht="24" customHeight="1" x14ac:dyDescent="0.15">
      <c r="A576" s="5" t="s">
        <v>1070</v>
      </c>
      <c r="B576" s="369">
        <f>調査票!E519</f>
        <v>0</v>
      </c>
    </row>
    <row r="577" spans="1:2" ht="24" customHeight="1" x14ac:dyDescent="0.15">
      <c r="A577" s="15" t="s">
        <v>1008</v>
      </c>
      <c r="B577" s="369">
        <f>調査票!N507</f>
        <v>0</v>
      </c>
    </row>
    <row r="578" spans="1:2" ht="24" customHeight="1" x14ac:dyDescent="0.15">
      <c r="A578" s="15" t="s">
        <v>1009</v>
      </c>
      <c r="B578" s="369">
        <f>調査票!N508</f>
        <v>0</v>
      </c>
    </row>
    <row r="579" spans="1:2" ht="24" customHeight="1" x14ac:dyDescent="0.15">
      <c r="A579" s="15" t="s">
        <v>1010</v>
      </c>
      <c r="B579" s="369">
        <f>調査票!N509</f>
        <v>0</v>
      </c>
    </row>
    <row r="580" spans="1:2" ht="24" customHeight="1" x14ac:dyDescent="0.15">
      <c r="A580" s="15" t="s">
        <v>1011</v>
      </c>
      <c r="B580" s="369">
        <f>調査票!N510</f>
        <v>0</v>
      </c>
    </row>
    <row r="581" spans="1:2" ht="24" customHeight="1" x14ac:dyDescent="0.15">
      <c r="A581" s="15" t="s">
        <v>1012</v>
      </c>
      <c r="B581" s="369">
        <f>調査票!N512</f>
        <v>0</v>
      </c>
    </row>
    <row r="582" spans="1:2" ht="24" customHeight="1" x14ac:dyDescent="0.15">
      <c r="A582" s="15" t="s">
        <v>1013</v>
      </c>
      <c r="B582" s="369">
        <f>調査票!N513</f>
        <v>0</v>
      </c>
    </row>
    <row r="583" spans="1:2" ht="24" customHeight="1" x14ac:dyDescent="0.15">
      <c r="A583" s="15" t="s">
        <v>1014</v>
      </c>
      <c r="B583" s="369">
        <f>調査票!N515</f>
        <v>0</v>
      </c>
    </row>
    <row r="584" spans="1:2" ht="24" customHeight="1" x14ac:dyDescent="0.15">
      <c r="A584" s="15" t="s">
        <v>1015</v>
      </c>
      <c r="B584" s="369">
        <f>調査票!N516</f>
        <v>0</v>
      </c>
    </row>
    <row r="585" spans="1:2" ht="24" customHeight="1" x14ac:dyDescent="0.15">
      <c r="A585" s="15" t="s">
        <v>1016</v>
      </c>
      <c r="B585" s="369">
        <f>調査票!N517</f>
        <v>0</v>
      </c>
    </row>
    <row r="586" spans="1:2" ht="24" customHeight="1" x14ac:dyDescent="0.15">
      <c r="A586" s="15" t="s">
        <v>1017</v>
      </c>
      <c r="B586" s="369">
        <f>調査票!N518</f>
        <v>0</v>
      </c>
    </row>
    <row r="587" spans="1:2" ht="24" customHeight="1" x14ac:dyDescent="0.15">
      <c r="A587" s="5" t="s">
        <v>1071</v>
      </c>
      <c r="B587" s="368">
        <f>調査票!D526</f>
        <v>0</v>
      </c>
    </row>
    <row r="588" spans="1:2" ht="24" customHeight="1" x14ac:dyDescent="0.15">
      <c r="A588" s="5" t="s">
        <v>1072</v>
      </c>
      <c r="B588" s="368">
        <f>調査票!I526</f>
        <v>0</v>
      </c>
    </row>
    <row r="589" spans="1:2" ht="24" customHeight="1" x14ac:dyDescent="0.15">
      <c r="A589" s="5" t="s">
        <v>1073</v>
      </c>
      <c r="B589" s="368">
        <f>調査票!P526</f>
        <v>0</v>
      </c>
    </row>
    <row r="590" spans="1:2" ht="24" customHeight="1" x14ac:dyDescent="0.15">
      <c r="A590" s="5" t="s">
        <v>355</v>
      </c>
      <c r="B590" s="369">
        <f>調査票!E528</f>
        <v>0</v>
      </c>
    </row>
    <row r="591" spans="1:2" ht="24" customHeight="1" x14ac:dyDescent="0.15">
      <c r="A591" s="5" t="s">
        <v>356</v>
      </c>
      <c r="B591" s="369">
        <f>調査票!E529</f>
        <v>0</v>
      </c>
    </row>
    <row r="592" spans="1:2" ht="24" customHeight="1" x14ac:dyDescent="0.15">
      <c r="A592" s="5" t="s">
        <v>357</v>
      </c>
      <c r="B592" s="369">
        <f>調査票!E530</f>
        <v>0</v>
      </c>
    </row>
    <row r="593" spans="1:2" ht="24" customHeight="1" x14ac:dyDescent="0.15">
      <c r="A593" s="5" t="s">
        <v>358</v>
      </c>
      <c r="B593" s="369">
        <f>調査票!E531</f>
        <v>0</v>
      </c>
    </row>
    <row r="594" spans="1:2" ht="24" customHeight="1" x14ac:dyDescent="0.15">
      <c r="A594" s="5" t="s">
        <v>359</v>
      </c>
      <c r="B594" s="369">
        <f>調査票!E533</f>
        <v>0</v>
      </c>
    </row>
    <row r="595" spans="1:2" ht="24" customHeight="1" x14ac:dyDescent="0.15">
      <c r="A595" s="5" t="s">
        <v>360</v>
      </c>
      <c r="B595" s="369">
        <f>調査票!E534</f>
        <v>0</v>
      </c>
    </row>
    <row r="596" spans="1:2" ht="24" customHeight="1" x14ac:dyDescent="0.15">
      <c r="A596" s="5" t="s">
        <v>361</v>
      </c>
      <c r="B596" s="369">
        <f>調査票!E536</f>
        <v>0</v>
      </c>
    </row>
    <row r="597" spans="1:2" ht="24" customHeight="1" x14ac:dyDescent="0.15">
      <c r="A597" s="5" t="s">
        <v>362</v>
      </c>
      <c r="B597" s="369">
        <f>調査票!E537</f>
        <v>0</v>
      </c>
    </row>
    <row r="598" spans="1:2" ht="24" customHeight="1" x14ac:dyDescent="0.15">
      <c r="A598" s="5" t="s">
        <v>363</v>
      </c>
      <c r="B598" s="369">
        <f>調査票!E538</f>
        <v>0</v>
      </c>
    </row>
    <row r="599" spans="1:2" ht="24" customHeight="1" x14ac:dyDescent="0.15">
      <c r="A599" s="5" t="s">
        <v>364</v>
      </c>
      <c r="B599" s="369">
        <f>調査票!E539</f>
        <v>0</v>
      </c>
    </row>
    <row r="600" spans="1:2" ht="24" customHeight="1" x14ac:dyDescent="0.15">
      <c r="A600" s="5" t="s">
        <v>1074</v>
      </c>
      <c r="B600" s="369">
        <f>調査票!E540</f>
        <v>0</v>
      </c>
    </row>
    <row r="601" spans="1:2" ht="24" customHeight="1" x14ac:dyDescent="0.15">
      <c r="A601" s="15" t="s">
        <v>1018</v>
      </c>
      <c r="B601" s="369">
        <f>調査票!N528</f>
        <v>0</v>
      </c>
    </row>
    <row r="602" spans="1:2" ht="24" customHeight="1" x14ac:dyDescent="0.15">
      <c r="A602" s="15" t="s">
        <v>1019</v>
      </c>
      <c r="B602" s="369">
        <f>調査票!N529</f>
        <v>0</v>
      </c>
    </row>
    <row r="603" spans="1:2" ht="24" customHeight="1" x14ac:dyDescent="0.15">
      <c r="A603" s="15" t="s">
        <v>1020</v>
      </c>
      <c r="B603" s="369">
        <f>調査票!N530</f>
        <v>0</v>
      </c>
    </row>
    <row r="604" spans="1:2" ht="24" customHeight="1" x14ac:dyDescent="0.15">
      <c r="A604" s="15" t="s">
        <v>1021</v>
      </c>
      <c r="B604" s="369">
        <f>調査票!N531</f>
        <v>0</v>
      </c>
    </row>
    <row r="605" spans="1:2" ht="24" customHeight="1" x14ac:dyDescent="0.15">
      <c r="A605" s="15" t="s">
        <v>1022</v>
      </c>
      <c r="B605" s="369">
        <f>調査票!N533</f>
        <v>0</v>
      </c>
    </row>
    <row r="606" spans="1:2" ht="24" customHeight="1" x14ac:dyDescent="0.15">
      <c r="A606" s="15" t="s">
        <v>1023</v>
      </c>
      <c r="B606" s="369">
        <f>調査票!N534</f>
        <v>0</v>
      </c>
    </row>
    <row r="607" spans="1:2" ht="24" customHeight="1" x14ac:dyDescent="0.15">
      <c r="A607" s="15" t="s">
        <v>1024</v>
      </c>
      <c r="B607" s="369">
        <f>調査票!N536</f>
        <v>0</v>
      </c>
    </row>
    <row r="608" spans="1:2" ht="24" customHeight="1" x14ac:dyDescent="0.15">
      <c r="A608" s="15" t="s">
        <v>1025</v>
      </c>
      <c r="B608" s="369">
        <f>調査票!N537</f>
        <v>0</v>
      </c>
    </row>
    <row r="609" spans="1:2" ht="24" customHeight="1" x14ac:dyDescent="0.15">
      <c r="A609" s="15" t="s">
        <v>1026</v>
      </c>
      <c r="B609" s="369">
        <f>調査票!N538</f>
        <v>0</v>
      </c>
    </row>
    <row r="610" spans="1:2" ht="24" customHeight="1" x14ac:dyDescent="0.15">
      <c r="A610" s="15" t="s">
        <v>1027</v>
      </c>
      <c r="B610" s="369">
        <f>調査票!N539</f>
        <v>0</v>
      </c>
    </row>
    <row r="611" spans="1:2" ht="24" customHeight="1" x14ac:dyDescent="0.15">
      <c r="A611" s="5" t="s">
        <v>1075</v>
      </c>
      <c r="B611" s="368">
        <f>調査票!D544</f>
        <v>0</v>
      </c>
    </row>
    <row r="612" spans="1:2" ht="24" customHeight="1" x14ac:dyDescent="0.15">
      <c r="A612" s="5" t="s">
        <v>1076</v>
      </c>
      <c r="B612" s="368">
        <f>調査票!I544</f>
        <v>0</v>
      </c>
    </row>
    <row r="613" spans="1:2" ht="24" customHeight="1" x14ac:dyDescent="0.15">
      <c r="A613" s="5" t="s">
        <v>1077</v>
      </c>
      <c r="B613" s="368">
        <f>調査票!P544</f>
        <v>0</v>
      </c>
    </row>
    <row r="614" spans="1:2" ht="24" customHeight="1" x14ac:dyDescent="0.15">
      <c r="A614" s="5" t="s">
        <v>365</v>
      </c>
      <c r="B614" s="369">
        <f>調査票!E546</f>
        <v>0</v>
      </c>
    </row>
    <row r="615" spans="1:2" ht="24" customHeight="1" x14ac:dyDescent="0.15">
      <c r="A615" s="5" t="s">
        <v>366</v>
      </c>
      <c r="B615" s="369">
        <f>調査票!E547</f>
        <v>0</v>
      </c>
    </row>
    <row r="616" spans="1:2" ht="24" customHeight="1" x14ac:dyDescent="0.15">
      <c r="A616" s="5" t="s">
        <v>367</v>
      </c>
      <c r="B616" s="369">
        <f>調査票!E548</f>
        <v>0</v>
      </c>
    </row>
    <row r="617" spans="1:2" ht="24" customHeight="1" x14ac:dyDescent="0.15">
      <c r="A617" s="5" t="s">
        <v>368</v>
      </c>
      <c r="B617" s="369">
        <f>調査票!E549</f>
        <v>0</v>
      </c>
    </row>
    <row r="618" spans="1:2" ht="24" customHeight="1" x14ac:dyDescent="0.15">
      <c r="A618" s="5" t="s">
        <v>369</v>
      </c>
      <c r="B618" s="369">
        <f>調査票!E551</f>
        <v>0</v>
      </c>
    </row>
    <row r="619" spans="1:2" ht="24" customHeight="1" x14ac:dyDescent="0.15">
      <c r="A619" s="5" t="s">
        <v>370</v>
      </c>
      <c r="B619" s="369">
        <f>調査票!E552</f>
        <v>0</v>
      </c>
    </row>
    <row r="620" spans="1:2" ht="24" customHeight="1" x14ac:dyDescent="0.15">
      <c r="A620" s="5" t="s">
        <v>371</v>
      </c>
      <c r="B620" s="369">
        <f>調査票!E554</f>
        <v>0</v>
      </c>
    </row>
    <row r="621" spans="1:2" ht="24" customHeight="1" x14ac:dyDescent="0.15">
      <c r="A621" s="5" t="s">
        <v>372</v>
      </c>
      <c r="B621" s="369">
        <f>調査票!E555</f>
        <v>0</v>
      </c>
    </row>
    <row r="622" spans="1:2" ht="24" customHeight="1" x14ac:dyDescent="0.15">
      <c r="A622" s="5" t="s">
        <v>373</v>
      </c>
      <c r="B622" s="369">
        <f>調査票!E556</f>
        <v>0</v>
      </c>
    </row>
    <row r="623" spans="1:2" ht="24" customHeight="1" x14ac:dyDescent="0.15">
      <c r="A623" s="5" t="s">
        <v>374</v>
      </c>
      <c r="B623" s="369">
        <f>調査票!E557</f>
        <v>0</v>
      </c>
    </row>
    <row r="624" spans="1:2" ht="24" customHeight="1" x14ac:dyDescent="0.15">
      <c r="A624" s="5" t="s">
        <v>1078</v>
      </c>
      <c r="B624" s="369">
        <f>調査票!E558</f>
        <v>0</v>
      </c>
    </row>
    <row r="625" spans="1:2" ht="24" customHeight="1" x14ac:dyDescent="0.15">
      <c r="A625" s="15" t="s">
        <v>1028</v>
      </c>
      <c r="B625" s="369">
        <f>調査票!N546</f>
        <v>0</v>
      </c>
    </row>
    <row r="626" spans="1:2" ht="24" customHeight="1" x14ac:dyDescent="0.15">
      <c r="A626" s="15" t="s">
        <v>1029</v>
      </c>
      <c r="B626" s="369">
        <f>調査票!N547</f>
        <v>0</v>
      </c>
    </row>
    <row r="627" spans="1:2" ht="24" customHeight="1" x14ac:dyDescent="0.15">
      <c r="A627" s="15" t="s">
        <v>1030</v>
      </c>
      <c r="B627" s="369">
        <f>調査票!N548</f>
        <v>0</v>
      </c>
    </row>
    <row r="628" spans="1:2" ht="24" customHeight="1" x14ac:dyDescent="0.15">
      <c r="A628" s="15" t="s">
        <v>1031</v>
      </c>
      <c r="B628" s="369">
        <f>調査票!N549</f>
        <v>0</v>
      </c>
    </row>
    <row r="629" spans="1:2" ht="24" customHeight="1" x14ac:dyDescent="0.15">
      <c r="A629" s="15" t="s">
        <v>1032</v>
      </c>
      <c r="B629" s="369">
        <f>調査票!N551</f>
        <v>0</v>
      </c>
    </row>
    <row r="630" spans="1:2" ht="24" customHeight="1" x14ac:dyDescent="0.15">
      <c r="A630" s="15" t="s">
        <v>1033</v>
      </c>
      <c r="B630" s="369">
        <f>調査票!N552</f>
        <v>0</v>
      </c>
    </row>
    <row r="631" spans="1:2" ht="24" customHeight="1" x14ac:dyDescent="0.15">
      <c r="A631" s="15" t="s">
        <v>1034</v>
      </c>
      <c r="B631" s="369">
        <f>調査票!N554</f>
        <v>0</v>
      </c>
    </row>
    <row r="632" spans="1:2" ht="24" customHeight="1" x14ac:dyDescent="0.15">
      <c r="A632" s="15" t="s">
        <v>1035</v>
      </c>
      <c r="B632" s="369">
        <f>調査票!N555</f>
        <v>0</v>
      </c>
    </row>
    <row r="633" spans="1:2" ht="24" customHeight="1" x14ac:dyDescent="0.15">
      <c r="A633" s="15" t="s">
        <v>1036</v>
      </c>
      <c r="B633" s="369">
        <f>調査票!N556</f>
        <v>0</v>
      </c>
    </row>
    <row r="634" spans="1:2" ht="24" customHeight="1" x14ac:dyDescent="0.15">
      <c r="A634" s="15" t="s">
        <v>1037</v>
      </c>
      <c r="B634" s="369">
        <f>調査票!N557</f>
        <v>0</v>
      </c>
    </row>
    <row r="635" spans="1:2" ht="24" customHeight="1" x14ac:dyDescent="0.15">
      <c r="A635" s="5" t="s">
        <v>1079</v>
      </c>
      <c r="B635" s="368">
        <f>調査票!D565</f>
        <v>0</v>
      </c>
    </row>
    <row r="636" spans="1:2" ht="24" customHeight="1" x14ac:dyDescent="0.15">
      <c r="A636" s="5" t="s">
        <v>1080</v>
      </c>
      <c r="B636" s="368">
        <f>調査票!I565</f>
        <v>0</v>
      </c>
    </row>
    <row r="637" spans="1:2" ht="24" customHeight="1" x14ac:dyDescent="0.15">
      <c r="A637" s="5" t="s">
        <v>1081</v>
      </c>
      <c r="B637" s="368">
        <f>調査票!P565</f>
        <v>0</v>
      </c>
    </row>
    <row r="638" spans="1:2" ht="24" customHeight="1" x14ac:dyDescent="0.15">
      <c r="A638" s="5" t="s">
        <v>375</v>
      </c>
      <c r="B638" s="369">
        <f>調査票!E567</f>
        <v>0</v>
      </c>
    </row>
    <row r="639" spans="1:2" ht="24" customHeight="1" x14ac:dyDescent="0.15">
      <c r="A639" s="5" t="s">
        <v>376</v>
      </c>
      <c r="B639" s="369">
        <f>調査票!E568</f>
        <v>0</v>
      </c>
    </row>
    <row r="640" spans="1:2" ht="24" customHeight="1" x14ac:dyDescent="0.15">
      <c r="A640" s="5" t="s">
        <v>377</v>
      </c>
      <c r="B640" s="369">
        <f>調査票!E569</f>
        <v>0</v>
      </c>
    </row>
    <row r="641" spans="1:2" ht="24" customHeight="1" x14ac:dyDescent="0.15">
      <c r="A641" s="5" t="s">
        <v>378</v>
      </c>
      <c r="B641" s="369">
        <f>調査票!E570</f>
        <v>0</v>
      </c>
    </row>
    <row r="642" spans="1:2" ht="24" customHeight="1" x14ac:dyDescent="0.15">
      <c r="A642" s="5" t="s">
        <v>379</v>
      </c>
      <c r="B642" s="369">
        <f>調査票!E572</f>
        <v>0</v>
      </c>
    </row>
    <row r="643" spans="1:2" ht="24" customHeight="1" x14ac:dyDescent="0.15">
      <c r="A643" s="5" t="s">
        <v>380</v>
      </c>
      <c r="B643" s="369">
        <f>調査票!E573</f>
        <v>0</v>
      </c>
    </row>
    <row r="644" spans="1:2" ht="24" customHeight="1" x14ac:dyDescent="0.15">
      <c r="A644" s="5" t="s">
        <v>381</v>
      </c>
      <c r="B644" s="369">
        <f>調査票!E575</f>
        <v>0</v>
      </c>
    </row>
    <row r="645" spans="1:2" ht="24" customHeight="1" x14ac:dyDescent="0.15">
      <c r="A645" s="5" t="s">
        <v>382</v>
      </c>
      <c r="B645" s="369">
        <f>調査票!E576</f>
        <v>0</v>
      </c>
    </row>
    <row r="646" spans="1:2" ht="24" customHeight="1" x14ac:dyDescent="0.15">
      <c r="A646" s="5" t="s">
        <v>383</v>
      </c>
      <c r="B646" s="369">
        <f>調査票!E577</f>
        <v>0</v>
      </c>
    </row>
    <row r="647" spans="1:2" ht="24" customHeight="1" x14ac:dyDescent="0.15">
      <c r="A647" s="5" t="s">
        <v>384</v>
      </c>
      <c r="B647" s="369">
        <f>調査票!E578</f>
        <v>0</v>
      </c>
    </row>
    <row r="648" spans="1:2" ht="24" customHeight="1" x14ac:dyDescent="0.15">
      <c r="A648" s="5" t="s">
        <v>1082</v>
      </c>
      <c r="B648" s="369">
        <f>調査票!E579</f>
        <v>0</v>
      </c>
    </row>
    <row r="649" spans="1:2" ht="24" customHeight="1" x14ac:dyDescent="0.15">
      <c r="A649" s="15" t="s">
        <v>1038</v>
      </c>
      <c r="B649" s="369">
        <f>調査票!N567</f>
        <v>0</v>
      </c>
    </row>
    <row r="650" spans="1:2" ht="24" customHeight="1" x14ac:dyDescent="0.15">
      <c r="A650" s="15" t="s">
        <v>1039</v>
      </c>
      <c r="B650" s="369">
        <f>調査票!N568</f>
        <v>0</v>
      </c>
    </row>
    <row r="651" spans="1:2" ht="24" customHeight="1" x14ac:dyDescent="0.15">
      <c r="A651" s="15" t="s">
        <v>1040</v>
      </c>
      <c r="B651" s="369">
        <f>調査票!N569</f>
        <v>0</v>
      </c>
    </row>
    <row r="652" spans="1:2" ht="24" customHeight="1" x14ac:dyDescent="0.15">
      <c r="A652" s="15" t="s">
        <v>1041</v>
      </c>
      <c r="B652" s="369">
        <f>調査票!N570</f>
        <v>0</v>
      </c>
    </row>
    <row r="653" spans="1:2" ht="24" customHeight="1" x14ac:dyDescent="0.15">
      <c r="A653" s="15" t="s">
        <v>1042</v>
      </c>
      <c r="B653" s="369">
        <f>調査票!N572</f>
        <v>0</v>
      </c>
    </row>
    <row r="654" spans="1:2" ht="24" customHeight="1" x14ac:dyDescent="0.15">
      <c r="A654" s="15" t="s">
        <v>1043</v>
      </c>
      <c r="B654" s="369">
        <f>調査票!N573</f>
        <v>0</v>
      </c>
    </row>
    <row r="655" spans="1:2" ht="24" customHeight="1" x14ac:dyDescent="0.15">
      <c r="A655" s="15" t="s">
        <v>1044</v>
      </c>
      <c r="B655" s="369">
        <f>調査票!N575</f>
        <v>0</v>
      </c>
    </row>
    <row r="656" spans="1:2" ht="24" customHeight="1" x14ac:dyDescent="0.15">
      <c r="A656" s="15" t="s">
        <v>1045</v>
      </c>
      <c r="B656" s="369">
        <f>調査票!N576</f>
        <v>0</v>
      </c>
    </row>
    <row r="657" spans="1:2" ht="24" customHeight="1" x14ac:dyDescent="0.15">
      <c r="A657" s="15" t="s">
        <v>1046</v>
      </c>
      <c r="B657" s="369">
        <f>調査票!N577</f>
        <v>0</v>
      </c>
    </row>
    <row r="658" spans="1:2" ht="24" customHeight="1" x14ac:dyDescent="0.15">
      <c r="A658" s="15" t="s">
        <v>1047</v>
      </c>
      <c r="B658" s="369">
        <f>調査票!N578</f>
        <v>0</v>
      </c>
    </row>
    <row r="659" spans="1:2" ht="24" customHeight="1" x14ac:dyDescent="0.15">
      <c r="A659" s="5" t="s">
        <v>1083</v>
      </c>
      <c r="B659" s="368">
        <f>調査票!D583</f>
        <v>0</v>
      </c>
    </row>
    <row r="660" spans="1:2" ht="24" customHeight="1" x14ac:dyDescent="0.15">
      <c r="A660" s="5" t="s">
        <v>1084</v>
      </c>
      <c r="B660" s="368">
        <f>調査票!I583</f>
        <v>0</v>
      </c>
    </row>
    <row r="661" spans="1:2" ht="24" customHeight="1" x14ac:dyDescent="0.15">
      <c r="A661" s="5" t="s">
        <v>1085</v>
      </c>
      <c r="B661" s="368">
        <f>調査票!P583</f>
        <v>0</v>
      </c>
    </row>
    <row r="662" spans="1:2" ht="24" customHeight="1" x14ac:dyDescent="0.15">
      <c r="A662" s="5" t="s">
        <v>385</v>
      </c>
      <c r="B662" s="369">
        <f>調査票!E585</f>
        <v>0</v>
      </c>
    </row>
    <row r="663" spans="1:2" ht="24" customHeight="1" x14ac:dyDescent="0.15">
      <c r="A663" s="5" t="s">
        <v>386</v>
      </c>
      <c r="B663" s="369">
        <f>調査票!E586</f>
        <v>0</v>
      </c>
    </row>
    <row r="664" spans="1:2" ht="24" customHeight="1" x14ac:dyDescent="0.15">
      <c r="A664" s="5" t="s">
        <v>387</v>
      </c>
      <c r="B664" s="369">
        <f>調査票!E587</f>
        <v>0</v>
      </c>
    </row>
    <row r="665" spans="1:2" ht="24" customHeight="1" x14ac:dyDescent="0.15">
      <c r="A665" s="5" t="s">
        <v>388</v>
      </c>
      <c r="B665" s="369">
        <f>調査票!E588</f>
        <v>0</v>
      </c>
    </row>
    <row r="666" spans="1:2" ht="24" customHeight="1" x14ac:dyDescent="0.15">
      <c r="A666" s="5" t="s">
        <v>389</v>
      </c>
      <c r="B666" s="369">
        <f>調査票!E590</f>
        <v>0</v>
      </c>
    </row>
    <row r="667" spans="1:2" ht="24" customHeight="1" x14ac:dyDescent="0.15">
      <c r="A667" s="5" t="s">
        <v>390</v>
      </c>
      <c r="B667" s="369">
        <f>調査票!E591</f>
        <v>0</v>
      </c>
    </row>
    <row r="668" spans="1:2" ht="24" customHeight="1" x14ac:dyDescent="0.15">
      <c r="A668" s="5" t="s">
        <v>391</v>
      </c>
      <c r="B668" s="369">
        <f>調査票!E593</f>
        <v>0</v>
      </c>
    </row>
    <row r="669" spans="1:2" ht="24" customHeight="1" x14ac:dyDescent="0.15">
      <c r="A669" s="5" t="s">
        <v>392</v>
      </c>
      <c r="B669" s="369">
        <f>調査票!E594</f>
        <v>0</v>
      </c>
    </row>
    <row r="670" spans="1:2" ht="24" customHeight="1" x14ac:dyDescent="0.15">
      <c r="A670" s="5" t="s">
        <v>393</v>
      </c>
      <c r="B670" s="369">
        <f>調査票!E595</f>
        <v>0</v>
      </c>
    </row>
    <row r="671" spans="1:2" ht="24" customHeight="1" x14ac:dyDescent="0.15">
      <c r="A671" s="5" t="s">
        <v>394</v>
      </c>
      <c r="B671" s="369">
        <f>調査票!E596</f>
        <v>0</v>
      </c>
    </row>
    <row r="672" spans="1:2" ht="24" customHeight="1" x14ac:dyDescent="0.15">
      <c r="A672" s="5" t="s">
        <v>1086</v>
      </c>
      <c r="B672" s="369">
        <f>調査票!E597</f>
        <v>0</v>
      </c>
    </row>
    <row r="673" spans="1:2" ht="24" customHeight="1" x14ac:dyDescent="0.15">
      <c r="A673" s="15" t="s">
        <v>1048</v>
      </c>
      <c r="B673" s="369">
        <f>調査票!N585</f>
        <v>0</v>
      </c>
    </row>
    <row r="674" spans="1:2" ht="24" customHeight="1" x14ac:dyDescent="0.15">
      <c r="A674" s="15" t="s">
        <v>1049</v>
      </c>
      <c r="B674" s="369">
        <f>調査票!N586</f>
        <v>0</v>
      </c>
    </row>
    <row r="675" spans="1:2" ht="24" customHeight="1" x14ac:dyDescent="0.15">
      <c r="A675" s="15" t="s">
        <v>1050</v>
      </c>
      <c r="B675" s="369">
        <f>調査票!N587</f>
        <v>0</v>
      </c>
    </row>
    <row r="676" spans="1:2" ht="24" customHeight="1" x14ac:dyDescent="0.15">
      <c r="A676" s="15" t="s">
        <v>1051</v>
      </c>
      <c r="B676" s="369">
        <f>調査票!N588</f>
        <v>0</v>
      </c>
    </row>
    <row r="677" spans="1:2" ht="24" customHeight="1" x14ac:dyDescent="0.15">
      <c r="A677" s="15" t="s">
        <v>1052</v>
      </c>
      <c r="B677" s="369">
        <f>調査票!N590</f>
        <v>0</v>
      </c>
    </row>
    <row r="678" spans="1:2" ht="24" customHeight="1" x14ac:dyDescent="0.15">
      <c r="A678" s="15" t="s">
        <v>1053</v>
      </c>
      <c r="B678" s="369">
        <f>調査票!N591</f>
        <v>0</v>
      </c>
    </row>
    <row r="679" spans="1:2" ht="24" customHeight="1" x14ac:dyDescent="0.15">
      <c r="A679" s="15" t="s">
        <v>1054</v>
      </c>
      <c r="B679" s="369">
        <f>調査票!N593</f>
        <v>0</v>
      </c>
    </row>
    <row r="680" spans="1:2" ht="24" customHeight="1" x14ac:dyDescent="0.15">
      <c r="A680" s="15" t="s">
        <v>1055</v>
      </c>
      <c r="B680" s="369">
        <f>調査票!N594</f>
        <v>0</v>
      </c>
    </row>
    <row r="681" spans="1:2" ht="24" customHeight="1" x14ac:dyDescent="0.15">
      <c r="A681" s="15" t="s">
        <v>1056</v>
      </c>
      <c r="B681" s="369">
        <f>調査票!N595</f>
        <v>0</v>
      </c>
    </row>
    <row r="682" spans="1:2" ht="24" customHeight="1" x14ac:dyDescent="0.15">
      <c r="A682" s="15" t="s">
        <v>1057</v>
      </c>
      <c r="B682" s="369">
        <f>調査票!N596</f>
        <v>0</v>
      </c>
    </row>
    <row r="683" spans="1:2" ht="24" customHeight="1" x14ac:dyDescent="0.15">
      <c r="A683" s="5" t="s">
        <v>1087</v>
      </c>
      <c r="B683" s="368">
        <f>調査票!D604</f>
        <v>0</v>
      </c>
    </row>
    <row r="684" spans="1:2" ht="24" customHeight="1" x14ac:dyDescent="0.15">
      <c r="A684" s="5" t="s">
        <v>1088</v>
      </c>
      <c r="B684" s="368">
        <f>調査票!I604</f>
        <v>0</v>
      </c>
    </row>
    <row r="685" spans="1:2" ht="24" customHeight="1" x14ac:dyDescent="0.15">
      <c r="A685" s="5" t="s">
        <v>1089</v>
      </c>
      <c r="B685" s="368">
        <f>調査票!P604</f>
        <v>0</v>
      </c>
    </row>
    <row r="686" spans="1:2" ht="24" customHeight="1" x14ac:dyDescent="0.15">
      <c r="A686" s="5" t="s">
        <v>395</v>
      </c>
      <c r="B686" s="369">
        <f>調査票!E606</f>
        <v>0</v>
      </c>
    </row>
    <row r="687" spans="1:2" ht="24" customHeight="1" x14ac:dyDescent="0.15">
      <c r="A687" s="5" t="s">
        <v>396</v>
      </c>
      <c r="B687" s="369">
        <f>調査票!E607</f>
        <v>0</v>
      </c>
    </row>
    <row r="688" spans="1:2" ht="24" customHeight="1" x14ac:dyDescent="0.15">
      <c r="A688" s="5" t="s">
        <v>397</v>
      </c>
      <c r="B688" s="369">
        <f>調査票!E608</f>
        <v>0</v>
      </c>
    </row>
    <row r="689" spans="1:2" ht="24" customHeight="1" x14ac:dyDescent="0.15">
      <c r="A689" s="5" t="s">
        <v>398</v>
      </c>
      <c r="B689" s="369">
        <f>調査票!E609</f>
        <v>0</v>
      </c>
    </row>
    <row r="690" spans="1:2" ht="24" customHeight="1" x14ac:dyDescent="0.15">
      <c r="A690" s="5" t="s">
        <v>399</v>
      </c>
      <c r="B690" s="369">
        <f>調査票!E611</f>
        <v>0</v>
      </c>
    </row>
    <row r="691" spans="1:2" ht="24" customHeight="1" x14ac:dyDescent="0.15">
      <c r="A691" s="5" t="s">
        <v>400</v>
      </c>
      <c r="B691" s="369">
        <f>調査票!E612</f>
        <v>0</v>
      </c>
    </row>
    <row r="692" spans="1:2" ht="24" customHeight="1" x14ac:dyDescent="0.15">
      <c r="A692" s="5" t="s">
        <v>401</v>
      </c>
      <c r="B692" s="369">
        <f>調査票!E614</f>
        <v>0</v>
      </c>
    </row>
    <row r="693" spans="1:2" ht="24" customHeight="1" x14ac:dyDescent="0.15">
      <c r="A693" s="5" t="s">
        <v>402</v>
      </c>
      <c r="B693" s="369">
        <f>調査票!E615</f>
        <v>0</v>
      </c>
    </row>
    <row r="694" spans="1:2" ht="24" customHeight="1" x14ac:dyDescent="0.15">
      <c r="A694" s="5" t="s">
        <v>403</v>
      </c>
      <c r="B694" s="369">
        <f>調査票!E616</f>
        <v>0</v>
      </c>
    </row>
    <row r="695" spans="1:2" ht="24" customHeight="1" x14ac:dyDescent="0.15">
      <c r="A695" s="5" t="s">
        <v>404</v>
      </c>
      <c r="B695" s="369">
        <f>調査票!E617</f>
        <v>0</v>
      </c>
    </row>
    <row r="696" spans="1:2" ht="24" customHeight="1" x14ac:dyDescent="0.15">
      <c r="A696" s="5" t="s">
        <v>1090</v>
      </c>
      <c r="B696" s="369">
        <f>調査票!E618</f>
        <v>0</v>
      </c>
    </row>
    <row r="697" spans="1:2" ht="24" customHeight="1" x14ac:dyDescent="0.15">
      <c r="A697" s="15" t="s">
        <v>1058</v>
      </c>
      <c r="B697" s="369">
        <f>調査票!N606</f>
        <v>0</v>
      </c>
    </row>
    <row r="698" spans="1:2" ht="24" customHeight="1" x14ac:dyDescent="0.15">
      <c r="A698" s="15" t="s">
        <v>1059</v>
      </c>
      <c r="B698" s="369">
        <f>調査票!N607</f>
        <v>0</v>
      </c>
    </row>
    <row r="699" spans="1:2" ht="24" customHeight="1" x14ac:dyDescent="0.15">
      <c r="A699" s="15" t="s">
        <v>1060</v>
      </c>
      <c r="B699" s="369">
        <f>調査票!N608</f>
        <v>0</v>
      </c>
    </row>
    <row r="700" spans="1:2" ht="24" customHeight="1" x14ac:dyDescent="0.15">
      <c r="A700" s="15" t="s">
        <v>1061</v>
      </c>
      <c r="B700" s="369">
        <f>調査票!N609</f>
        <v>0</v>
      </c>
    </row>
    <row r="701" spans="1:2" ht="24" customHeight="1" x14ac:dyDescent="0.15">
      <c r="A701" s="15" t="s">
        <v>1062</v>
      </c>
      <c r="B701" s="369">
        <f>調査票!N611</f>
        <v>0</v>
      </c>
    </row>
    <row r="702" spans="1:2" ht="24" customHeight="1" x14ac:dyDescent="0.15">
      <c r="A702" s="15" t="s">
        <v>1063</v>
      </c>
      <c r="B702" s="369">
        <f>調査票!N612</f>
        <v>0</v>
      </c>
    </row>
    <row r="703" spans="1:2" ht="24" customHeight="1" x14ac:dyDescent="0.15">
      <c r="A703" s="15" t="s">
        <v>1064</v>
      </c>
      <c r="B703" s="369">
        <f>調査票!N614</f>
        <v>0</v>
      </c>
    </row>
    <row r="704" spans="1:2" ht="24" customHeight="1" x14ac:dyDescent="0.15">
      <c r="A704" s="15" t="s">
        <v>1065</v>
      </c>
      <c r="B704" s="369">
        <f>調査票!N615</f>
        <v>0</v>
      </c>
    </row>
    <row r="705" spans="1:2" ht="24" customHeight="1" x14ac:dyDescent="0.15">
      <c r="A705" s="15" t="s">
        <v>1066</v>
      </c>
      <c r="B705" s="369">
        <f>調査票!N616</f>
        <v>0</v>
      </c>
    </row>
    <row r="706" spans="1:2" ht="24" customHeight="1" x14ac:dyDescent="0.15">
      <c r="A706" s="15" t="s">
        <v>1067</v>
      </c>
      <c r="B706" s="369">
        <f>調査票!N617</f>
        <v>0</v>
      </c>
    </row>
    <row r="707" spans="1:2" ht="24" customHeight="1" x14ac:dyDescent="0.15">
      <c r="A707" s="5" t="s">
        <v>1092</v>
      </c>
      <c r="B707" s="368">
        <f>調査票!D622</f>
        <v>0</v>
      </c>
    </row>
    <row r="708" spans="1:2" ht="24" customHeight="1" x14ac:dyDescent="0.15">
      <c r="A708" s="5" t="s">
        <v>1093</v>
      </c>
      <c r="B708" s="368">
        <f>調査票!I622</f>
        <v>0</v>
      </c>
    </row>
    <row r="709" spans="1:2" ht="24" customHeight="1" x14ac:dyDescent="0.15">
      <c r="A709" s="5" t="s">
        <v>1094</v>
      </c>
      <c r="B709" s="368">
        <f>調査票!P622</f>
        <v>0</v>
      </c>
    </row>
    <row r="710" spans="1:2" ht="24" customHeight="1" x14ac:dyDescent="0.15">
      <c r="A710" s="5" t="s">
        <v>1095</v>
      </c>
      <c r="B710" s="369">
        <f>調査票!E624</f>
        <v>0</v>
      </c>
    </row>
    <row r="711" spans="1:2" ht="24" customHeight="1" x14ac:dyDescent="0.15">
      <c r="A711" s="5" t="s">
        <v>1096</v>
      </c>
      <c r="B711" s="369">
        <f>調査票!E625</f>
        <v>0</v>
      </c>
    </row>
    <row r="712" spans="1:2" ht="24" customHeight="1" x14ac:dyDescent="0.15">
      <c r="A712" s="5" t="s">
        <v>1097</v>
      </c>
      <c r="B712" s="369">
        <f>調査票!E626</f>
        <v>0</v>
      </c>
    </row>
    <row r="713" spans="1:2" ht="24" customHeight="1" x14ac:dyDescent="0.15">
      <c r="A713" s="5" t="s">
        <v>1098</v>
      </c>
      <c r="B713" s="369">
        <f>調査票!E627</f>
        <v>0</v>
      </c>
    </row>
    <row r="714" spans="1:2" ht="24" customHeight="1" x14ac:dyDescent="0.15">
      <c r="A714" s="5" t="s">
        <v>1099</v>
      </c>
      <c r="B714" s="369">
        <f>調査票!E629</f>
        <v>0</v>
      </c>
    </row>
    <row r="715" spans="1:2" ht="24" customHeight="1" x14ac:dyDescent="0.15">
      <c r="A715" s="5" t="s">
        <v>1100</v>
      </c>
      <c r="B715" s="369">
        <f>調査票!E630</f>
        <v>0</v>
      </c>
    </row>
    <row r="716" spans="1:2" ht="24" customHeight="1" x14ac:dyDescent="0.15">
      <c r="A716" s="5" t="s">
        <v>1101</v>
      </c>
      <c r="B716" s="369">
        <f>調査票!E632</f>
        <v>0</v>
      </c>
    </row>
    <row r="717" spans="1:2" ht="24" customHeight="1" x14ac:dyDescent="0.15">
      <c r="A717" s="5" t="s">
        <v>1102</v>
      </c>
      <c r="B717" s="369">
        <f>調査票!E633</f>
        <v>0</v>
      </c>
    </row>
    <row r="718" spans="1:2" ht="24" customHeight="1" x14ac:dyDescent="0.15">
      <c r="A718" s="5" t="s">
        <v>1103</v>
      </c>
      <c r="B718" s="369">
        <f>調査票!E634</f>
        <v>0</v>
      </c>
    </row>
    <row r="719" spans="1:2" ht="24" customHeight="1" x14ac:dyDescent="0.15">
      <c r="A719" s="5" t="s">
        <v>1104</v>
      </c>
      <c r="B719" s="369">
        <f>調査票!E635</f>
        <v>0</v>
      </c>
    </row>
    <row r="720" spans="1:2" ht="24" customHeight="1" x14ac:dyDescent="0.15">
      <c r="A720" s="5" t="s">
        <v>1105</v>
      </c>
      <c r="B720" s="369">
        <f>調査票!E636</f>
        <v>0</v>
      </c>
    </row>
    <row r="721" spans="1:4" ht="24" customHeight="1" x14ac:dyDescent="0.15">
      <c r="A721" s="15" t="s">
        <v>1106</v>
      </c>
      <c r="B721" s="369">
        <f>調査票!N624</f>
        <v>0</v>
      </c>
    </row>
    <row r="722" spans="1:4" ht="24" customHeight="1" x14ac:dyDescent="0.15">
      <c r="A722" s="15" t="s">
        <v>1107</v>
      </c>
      <c r="B722" s="369">
        <f>調査票!N625</f>
        <v>0</v>
      </c>
    </row>
    <row r="723" spans="1:4" ht="24" customHeight="1" x14ac:dyDescent="0.15">
      <c r="A723" s="15" t="s">
        <v>1108</v>
      </c>
      <c r="B723" s="369">
        <f>調査票!N626</f>
        <v>0</v>
      </c>
    </row>
    <row r="724" spans="1:4" ht="24" customHeight="1" x14ac:dyDescent="0.15">
      <c r="A724" s="15" t="s">
        <v>1109</v>
      </c>
      <c r="B724" s="369">
        <f>調査票!N627</f>
        <v>0</v>
      </c>
    </row>
    <row r="725" spans="1:4" ht="24" customHeight="1" x14ac:dyDescent="0.15">
      <c r="A725" s="15" t="s">
        <v>1110</v>
      </c>
      <c r="B725" s="369">
        <f>調査票!N629</f>
        <v>0</v>
      </c>
    </row>
    <row r="726" spans="1:4" ht="24" customHeight="1" x14ac:dyDescent="0.15">
      <c r="A726" s="15" t="s">
        <v>1111</v>
      </c>
      <c r="B726" s="369">
        <f>調査票!N630</f>
        <v>0</v>
      </c>
    </row>
    <row r="727" spans="1:4" ht="24" customHeight="1" x14ac:dyDescent="0.15">
      <c r="A727" s="15" t="s">
        <v>1112</v>
      </c>
      <c r="B727" s="369">
        <f>調査票!N632</f>
        <v>0</v>
      </c>
    </row>
    <row r="728" spans="1:4" ht="24" customHeight="1" x14ac:dyDescent="0.15">
      <c r="A728" s="15" t="s">
        <v>1113</v>
      </c>
      <c r="B728" s="369">
        <f>調査票!N633</f>
        <v>0</v>
      </c>
    </row>
    <row r="729" spans="1:4" ht="24" customHeight="1" x14ac:dyDescent="0.15">
      <c r="A729" s="15" t="s">
        <v>1114</v>
      </c>
      <c r="B729" s="369">
        <f>調査票!N634</f>
        <v>0</v>
      </c>
    </row>
    <row r="730" spans="1:4" ht="24" customHeight="1" x14ac:dyDescent="0.15">
      <c r="A730" s="15" t="s">
        <v>1115</v>
      </c>
      <c r="B730" s="369">
        <f>調査票!N635</f>
        <v>0</v>
      </c>
    </row>
    <row r="731" spans="1:4" ht="24" customHeight="1" x14ac:dyDescent="0.15">
      <c r="A731" s="10" t="s">
        <v>1116</v>
      </c>
      <c r="B731" s="368">
        <f>調査票!$F$645</f>
        <v>0</v>
      </c>
      <c r="D731" s="22" t="s">
        <v>1615</v>
      </c>
    </row>
    <row r="732" spans="1:4" ht="24" customHeight="1" x14ac:dyDescent="0.15">
      <c r="A732" s="179" t="s">
        <v>1117</v>
      </c>
      <c r="B732" s="368">
        <f>調査票!$F$646</f>
        <v>0</v>
      </c>
      <c r="D732" s="22" t="s">
        <v>1615</v>
      </c>
    </row>
    <row r="733" spans="1:4" ht="24" customHeight="1" x14ac:dyDescent="0.15">
      <c r="A733" s="179" t="s">
        <v>1118</v>
      </c>
      <c r="B733" s="368">
        <f>調査票!$F$647</f>
        <v>0</v>
      </c>
      <c r="D733" s="22" t="s">
        <v>1615</v>
      </c>
    </row>
    <row r="734" spans="1:4" ht="24" customHeight="1" x14ac:dyDescent="0.15">
      <c r="A734" s="179" t="s">
        <v>1119</v>
      </c>
      <c r="B734" s="368">
        <f>調査票!$F$648</f>
        <v>0</v>
      </c>
      <c r="D734" s="22" t="s">
        <v>1615</v>
      </c>
    </row>
    <row r="735" spans="1:4" ht="24" customHeight="1" x14ac:dyDescent="0.15">
      <c r="A735" s="179" t="s">
        <v>1120</v>
      </c>
      <c r="B735" s="368">
        <f>調査票!$F$649</f>
        <v>0</v>
      </c>
      <c r="D735" s="22" t="s">
        <v>1615</v>
      </c>
    </row>
    <row r="736" spans="1:4" ht="24" customHeight="1" x14ac:dyDescent="0.15">
      <c r="A736" s="179" t="s">
        <v>1121</v>
      </c>
      <c r="B736" s="368">
        <f>調査票!$F$650</f>
        <v>0</v>
      </c>
      <c r="D736" s="22" t="s">
        <v>1615</v>
      </c>
    </row>
    <row r="737" spans="1:4" ht="24" customHeight="1" x14ac:dyDescent="0.15">
      <c r="A737" s="179" t="s">
        <v>1122</v>
      </c>
      <c r="B737" s="368" t="str">
        <f>調査票!$F$651</f>
        <v/>
      </c>
      <c r="D737" s="22" t="s">
        <v>1615</v>
      </c>
    </row>
    <row r="738" spans="1:4" ht="24" customHeight="1" x14ac:dyDescent="0.15">
      <c r="A738" s="179" t="s">
        <v>1123</v>
      </c>
      <c r="B738" s="368">
        <f>調査票!$H$645</f>
        <v>0</v>
      </c>
      <c r="D738" s="22" t="s">
        <v>1615</v>
      </c>
    </row>
    <row r="739" spans="1:4" ht="24" customHeight="1" x14ac:dyDescent="0.15">
      <c r="A739" s="11" t="s">
        <v>1124</v>
      </c>
      <c r="B739" s="368">
        <f>調査票!$H$646</f>
        <v>0</v>
      </c>
      <c r="D739" s="22" t="s">
        <v>1615</v>
      </c>
    </row>
    <row r="740" spans="1:4" ht="24" customHeight="1" x14ac:dyDescent="0.15">
      <c r="A740" s="11" t="s">
        <v>1125</v>
      </c>
      <c r="B740" s="368">
        <f>調査票!$H$647</f>
        <v>0</v>
      </c>
      <c r="D740" s="22" t="s">
        <v>1615</v>
      </c>
    </row>
    <row r="741" spans="1:4" ht="24" customHeight="1" x14ac:dyDescent="0.15">
      <c r="A741" s="11" t="s">
        <v>1126</v>
      </c>
      <c r="B741" s="368">
        <f>調査票!$H$648</f>
        <v>0</v>
      </c>
      <c r="D741" s="22" t="s">
        <v>1615</v>
      </c>
    </row>
    <row r="742" spans="1:4" ht="24" customHeight="1" x14ac:dyDescent="0.15">
      <c r="A742" s="11" t="s">
        <v>1127</v>
      </c>
      <c r="B742" s="368">
        <f>調査票!$H$649</f>
        <v>0</v>
      </c>
      <c r="D742" s="22" t="s">
        <v>1615</v>
      </c>
    </row>
    <row r="743" spans="1:4" ht="24" customHeight="1" x14ac:dyDescent="0.15">
      <c r="A743" s="11" t="s">
        <v>1128</v>
      </c>
      <c r="B743" s="368">
        <f>調査票!$H$650</f>
        <v>0</v>
      </c>
      <c r="D743" s="22" t="s">
        <v>1615</v>
      </c>
    </row>
    <row r="744" spans="1:4" ht="24" customHeight="1" x14ac:dyDescent="0.15">
      <c r="A744" s="11" t="s">
        <v>1129</v>
      </c>
      <c r="B744" s="368" t="str">
        <f>調査票!$H$651</f>
        <v/>
      </c>
      <c r="D744" s="22" t="s">
        <v>1615</v>
      </c>
    </row>
    <row r="745" spans="1:4" ht="24" customHeight="1" x14ac:dyDescent="0.15">
      <c r="A745" s="179" t="s">
        <v>1130</v>
      </c>
      <c r="B745" s="368">
        <f>調査票!$J$645</f>
        <v>0</v>
      </c>
      <c r="D745" s="22" t="s">
        <v>1615</v>
      </c>
    </row>
    <row r="746" spans="1:4" ht="24" customHeight="1" x14ac:dyDescent="0.15">
      <c r="A746" s="11" t="s">
        <v>1131</v>
      </c>
      <c r="B746" s="368">
        <f>調査票!$J$646</f>
        <v>0</v>
      </c>
      <c r="D746" s="22" t="s">
        <v>1615</v>
      </c>
    </row>
    <row r="747" spans="1:4" ht="24" customHeight="1" x14ac:dyDescent="0.15">
      <c r="A747" s="11" t="s">
        <v>1132</v>
      </c>
      <c r="B747" s="368">
        <f>調査票!$J$647</f>
        <v>0</v>
      </c>
      <c r="D747" s="22" t="s">
        <v>1615</v>
      </c>
    </row>
    <row r="748" spans="1:4" ht="24" customHeight="1" x14ac:dyDescent="0.15">
      <c r="A748" s="11" t="s">
        <v>1133</v>
      </c>
      <c r="B748" s="368">
        <f>調査票!$J$648</f>
        <v>0</v>
      </c>
      <c r="D748" s="22" t="s">
        <v>1615</v>
      </c>
    </row>
    <row r="749" spans="1:4" ht="24" customHeight="1" x14ac:dyDescent="0.15">
      <c r="A749" s="11" t="s">
        <v>1134</v>
      </c>
      <c r="B749" s="368">
        <f>調査票!$J$649</f>
        <v>0</v>
      </c>
      <c r="D749" s="22" t="s">
        <v>1615</v>
      </c>
    </row>
    <row r="750" spans="1:4" ht="24" customHeight="1" x14ac:dyDescent="0.15">
      <c r="A750" s="11" t="s">
        <v>1135</v>
      </c>
      <c r="B750" s="368">
        <f>調査票!$J$650</f>
        <v>0</v>
      </c>
      <c r="D750" s="22" t="s">
        <v>1615</v>
      </c>
    </row>
    <row r="751" spans="1:4" ht="24" customHeight="1" x14ac:dyDescent="0.15">
      <c r="A751" s="11" t="s">
        <v>1136</v>
      </c>
      <c r="B751" s="368" t="str">
        <f>調査票!$J$651</f>
        <v/>
      </c>
      <c r="D751" s="22" t="s">
        <v>1615</v>
      </c>
    </row>
    <row r="752" spans="1:4" ht="24" customHeight="1" x14ac:dyDescent="0.15">
      <c r="A752" s="179" t="s">
        <v>1137</v>
      </c>
      <c r="B752" s="368">
        <f>調査票!$L$645</f>
        <v>0</v>
      </c>
      <c r="D752" s="22" t="s">
        <v>1615</v>
      </c>
    </row>
    <row r="753" spans="1:4" ht="24" customHeight="1" x14ac:dyDescent="0.15">
      <c r="A753" s="11" t="s">
        <v>1138</v>
      </c>
      <c r="B753" s="368">
        <f>調査票!$L$646</f>
        <v>0</v>
      </c>
      <c r="D753" s="22" t="s">
        <v>1615</v>
      </c>
    </row>
    <row r="754" spans="1:4" ht="24" customHeight="1" x14ac:dyDescent="0.15">
      <c r="A754" s="11" t="s">
        <v>1139</v>
      </c>
      <c r="B754" s="368">
        <f>調査票!$L$647</f>
        <v>0</v>
      </c>
      <c r="D754" s="22" t="s">
        <v>1615</v>
      </c>
    </row>
    <row r="755" spans="1:4" ht="24" customHeight="1" x14ac:dyDescent="0.15">
      <c r="A755" s="11" t="s">
        <v>1140</v>
      </c>
      <c r="B755" s="368">
        <f>調査票!$L$648</f>
        <v>0</v>
      </c>
      <c r="D755" s="22" t="s">
        <v>1615</v>
      </c>
    </row>
    <row r="756" spans="1:4" ht="24" customHeight="1" x14ac:dyDescent="0.15">
      <c r="A756" s="11" t="s">
        <v>1141</v>
      </c>
      <c r="B756" s="368">
        <f>調査票!$L$649</f>
        <v>0</v>
      </c>
      <c r="D756" s="22" t="s">
        <v>1615</v>
      </c>
    </row>
    <row r="757" spans="1:4" ht="24" customHeight="1" x14ac:dyDescent="0.15">
      <c r="A757" s="11" t="s">
        <v>1142</v>
      </c>
      <c r="B757" s="368">
        <f>調査票!$L$650</f>
        <v>0</v>
      </c>
      <c r="D757" s="22" t="s">
        <v>1615</v>
      </c>
    </row>
    <row r="758" spans="1:4" ht="24" customHeight="1" x14ac:dyDescent="0.15">
      <c r="A758" s="11" t="s">
        <v>1143</v>
      </c>
      <c r="B758" s="368" t="str">
        <f>調査票!$L$651</f>
        <v/>
      </c>
      <c r="D758" s="22" t="s">
        <v>1615</v>
      </c>
    </row>
    <row r="759" spans="1:4" ht="24" customHeight="1" x14ac:dyDescent="0.15">
      <c r="A759" s="179" t="s">
        <v>1144</v>
      </c>
      <c r="B759" s="368">
        <f>調査票!$N$645</f>
        <v>0</v>
      </c>
      <c r="D759" s="22" t="s">
        <v>1615</v>
      </c>
    </row>
    <row r="760" spans="1:4" ht="24" customHeight="1" x14ac:dyDescent="0.15">
      <c r="A760" s="11" t="s">
        <v>1145</v>
      </c>
      <c r="B760" s="368">
        <f>調査票!$N$646</f>
        <v>0</v>
      </c>
      <c r="D760" s="22" t="s">
        <v>1615</v>
      </c>
    </row>
    <row r="761" spans="1:4" ht="24" customHeight="1" x14ac:dyDescent="0.15">
      <c r="A761" s="11" t="s">
        <v>1146</v>
      </c>
      <c r="B761" s="368">
        <f>調査票!$N$647</f>
        <v>0</v>
      </c>
      <c r="D761" s="22" t="s">
        <v>1615</v>
      </c>
    </row>
    <row r="762" spans="1:4" ht="24" customHeight="1" x14ac:dyDescent="0.15">
      <c r="A762" s="11" t="s">
        <v>1147</v>
      </c>
      <c r="B762" s="368">
        <f>調査票!$N$648</f>
        <v>0</v>
      </c>
      <c r="D762" s="22" t="s">
        <v>1615</v>
      </c>
    </row>
    <row r="763" spans="1:4" ht="24" customHeight="1" x14ac:dyDescent="0.15">
      <c r="A763" s="11" t="s">
        <v>1148</v>
      </c>
      <c r="B763" s="368">
        <f>調査票!$N$649</f>
        <v>0</v>
      </c>
      <c r="D763" s="22" t="s">
        <v>1615</v>
      </c>
    </row>
    <row r="764" spans="1:4" ht="24" customHeight="1" x14ac:dyDescent="0.15">
      <c r="A764" s="11" t="s">
        <v>1149</v>
      </c>
      <c r="B764" s="368">
        <f>調査票!$N$650</f>
        <v>0</v>
      </c>
      <c r="D764" s="22" t="s">
        <v>1615</v>
      </c>
    </row>
    <row r="765" spans="1:4" ht="24" customHeight="1" x14ac:dyDescent="0.15">
      <c r="A765" s="11" t="s">
        <v>1150</v>
      </c>
      <c r="B765" s="368" t="str">
        <f>調査票!$N$651</f>
        <v/>
      </c>
      <c r="D765" s="22" t="s">
        <v>1615</v>
      </c>
    </row>
    <row r="766" spans="1:4" ht="24" customHeight="1" x14ac:dyDescent="0.15">
      <c r="A766" s="179" t="s">
        <v>1151</v>
      </c>
      <c r="B766" s="368">
        <f>調査票!$P$645</f>
        <v>0</v>
      </c>
      <c r="D766" s="22" t="s">
        <v>1615</v>
      </c>
    </row>
    <row r="767" spans="1:4" ht="24" customHeight="1" x14ac:dyDescent="0.15">
      <c r="A767" s="11" t="s">
        <v>1152</v>
      </c>
      <c r="B767" s="368">
        <f>調査票!$P$646</f>
        <v>0</v>
      </c>
      <c r="D767" s="22" t="s">
        <v>1615</v>
      </c>
    </row>
    <row r="768" spans="1:4" ht="24" customHeight="1" x14ac:dyDescent="0.15">
      <c r="A768" s="11" t="s">
        <v>1153</v>
      </c>
      <c r="B768" s="368">
        <f>調査票!$P$647</f>
        <v>0</v>
      </c>
      <c r="D768" s="22" t="s">
        <v>1615</v>
      </c>
    </row>
    <row r="769" spans="1:4" ht="24" customHeight="1" x14ac:dyDescent="0.15">
      <c r="A769" s="11" t="s">
        <v>1154</v>
      </c>
      <c r="B769" s="368">
        <f>調査票!$P$648</f>
        <v>0</v>
      </c>
      <c r="D769" s="22" t="s">
        <v>1615</v>
      </c>
    </row>
    <row r="770" spans="1:4" ht="24" customHeight="1" x14ac:dyDescent="0.15">
      <c r="A770" s="11" t="s">
        <v>1155</v>
      </c>
      <c r="B770" s="368">
        <f>調査票!$P$649</f>
        <v>0</v>
      </c>
      <c r="D770" s="22" t="s">
        <v>1615</v>
      </c>
    </row>
    <row r="771" spans="1:4" ht="24" customHeight="1" x14ac:dyDescent="0.15">
      <c r="A771" s="11" t="s">
        <v>1156</v>
      </c>
      <c r="B771" s="368">
        <f>調査票!$P$650</f>
        <v>0</v>
      </c>
      <c r="D771" s="22" t="s">
        <v>1615</v>
      </c>
    </row>
    <row r="772" spans="1:4" ht="24" customHeight="1" x14ac:dyDescent="0.15">
      <c r="A772" s="11" t="s">
        <v>1157</v>
      </c>
      <c r="B772" s="368" t="str">
        <f>調査票!$P$651</f>
        <v/>
      </c>
      <c r="D772" s="22" t="s">
        <v>1615</v>
      </c>
    </row>
    <row r="773" spans="1:4" ht="24" customHeight="1" x14ac:dyDescent="0.15">
      <c r="A773" s="179" t="s">
        <v>1158</v>
      </c>
      <c r="B773" s="368">
        <f>調査票!$R$645</f>
        <v>0</v>
      </c>
      <c r="D773" s="22" t="s">
        <v>1615</v>
      </c>
    </row>
    <row r="774" spans="1:4" ht="24" customHeight="1" x14ac:dyDescent="0.15">
      <c r="A774" s="11" t="s">
        <v>1159</v>
      </c>
      <c r="B774" s="368">
        <f>調査票!$R$646</f>
        <v>0</v>
      </c>
      <c r="D774" s="22" t="s">
        <v>1615</v>
      </c>
    </row>
    <row r="775" spans="1:4" ht="24" customHeight="1" x14ac:dyDescent="0.15">
      <c r="A775" s="11" t="s">
        <v>1160</v>
      </c>
      <c r="B775" s="368">
        <f>調査票!$R$647</f>
        <v>0</v>
      </c>
      <c r="D775" s="22" t="s">
        <v>1615</v>
      </c>
    </row>
    <row r="776" spans="1:4" ht="24" customHeight="1" x14ac:dyDescent="0.15">
      <c r="A776" s="11" t="s">
        <v>1161</v>
      </c>
      <c r="B776" s="368">
        <f>調査票!$R$648</f>
        <v>0</v>
      </c>
      <c r="D776" s="22" t="s">
        <v>1615</v>
      </c>
    </row>
    <row r="777" spans="1:4" ht="24" customHeight="1" x14ac:dyDescent="0.15">
      <c r="A777" s="11" t="s">
        <v>1162</v>
      </c>
      <c r="B777" s="368">
        <f>調査票!$R$649</f>
        <v>0</v>
      </c>
      <c r="D777" s="22" t="s">
        <v>1615</v>
      </c>
    </row>
    <row r="778" spans="1:4" ht="24" customHeight="1" x14ac:dyDescent="0.15">
      <c r="A778" s="11" t="s">
        <v>1163</v>
      </c>
      <c r="B778" s="368">
        <f>調査票!$R$650</f>
        <v>0</v>
      </c>
      <c r="D778" s="22" t="s">
        <v>1615</v>
      </c>
    </row>
    <row r="779" spans="1:4" ht="24" customHeight="1" x14ac:dyDescent="0.15">
      <c r="A779" s="11" t="s">
        <v>1164</v>
      </c>
      <c r="B779" s="368" t="str">
        <f>調査票!$R$651</f>
        <v/>
      </c>
      <c r="D779" s="22" t="s">
        <v>1615</v>
      </c>
    </row>
    <row r="780" spans="1:4" ht="24" customHeight="1" x14ac:dyDescent="0.15">
      <c r="A780" s="180" t="s">
        <v>1165</v>
      </c>
      <c r="B780" s="368">
        <f>調査票!$F$653</f>
        <v>0</v>
      </c>
      <c r="D780" s="22" t="s">
        <v>1615</v>
      </c>
    </row>
    <row r="781" spans="1:4" ht="24" customHeight="1" x14ac:dyDescent="0.15">
      <c r="A781" s="180" t="s">
        <v>1166</v>
      </c>
      <c r="B781" s="368">
        <f>調査票!$F$654</f>
        <v>0</v>
      </c>
      <c r="D781" s="22" t="s">
        <v>1615</v>
      </c>
    </row>
    <row r="782" spans="1:4" ht="24" customHeight="1" x14ac:dyDescent="0.15">
      <c r="A782" s="180" t="s">
        <v>1167</v>
      </c>
      <c r="B782" s="368">
        <f>調査票!$F$655</f>
        <v>0</v>
      </c>
      <c r="D782" s="22" t="s">
        <v>1615</v>
      </c>
    </row>
    <row r="783" spans="1:4" ht="24" customHeight="1" x14ac:dyDescent="0.15">
      <c r="A783" s="180" t="s">
        <v>1168</v>
      </c>
      <c r="B783" s="368">
        <f>調査票!$F$656</f>
        <v>0</v>
      </c>
      <c r="D783" s="22" t="s">
        <v>1615</v>
      </c>
    </row>
    <row r="784" spans="1:4" ht="24" customHeight="1" x14ac:dyDescent="0.15">
      <c r="A784" s="180" t="s">
        <v>1169</v>
      </c>
      <c r="B784" s="368">
        <f>調査票!$F$657</f>
        <v>0</v>
      </c>
      <c r="D784" s="22" t="s">
        <v>1615</v>
      </c>
    </row>
    <row r="785" spans="1:4" ht="24" customHeight="1" x14ac:dyDescent="0.15">
      <c r="A785" s="180" t="s">
        <v>1170</v>
      </c>
      <c r="B785" s="368">
        <f>調査票!$F$658</f>
        <v>0</v>
      </c>
      <c r="D785" s="22" t="s">
        <v>1615</v>
      </c>
    </row>
    <row r="786" spans="1:4" ht="24" customHeight="1" x14ac:dyDescent="0.15">
      <c r="A786" s="180" t="s">
        <v>1171</v>
      </c>
      <c r="B786" s="368" t="str">
        <f>調査票!$F$659</f>
        <v/>
      </c>
      <c r="D786" s="22" t="s">
        <v>1615</v>
      </c>
    </row>
    <row r="787" spans="1:4" ht="24" customHeight="1" x14ac:dyDescent="0.15">
      <c r="A787" s="180" t="s">
        <v>1172</v>
      </c>
      <c r="B787" s="368">
        <f>調査票!$H$653</f>
        <v>0</v>
      </c>
      <c r="D787" s="22" t="s">
        <v>1615</v>
      </c>
    </row>
    <row r="788" spans="1:4" ht="24" customHeight="1" x14ac:dyDescent="0.15">
      <c r="A788" s="181" t="s">
        <v>1173</v>
      </c>
      <c r="B788" s="368">
        <f>調査票!$H$654</f>
        <v>0</v>
      </c>
      <c r="D788" s="22" t="s">
        <v>1615</v>
      </c>
    </row>
    <row r="789" spans="1:4" ht="24" customHeight="1" x14ac:dyDescent="0.15">
      <c r="A789" s="181" t="s">
        <v>1174</v>
      </c>
      <c r="B789" s="368">
        <f>調査票!$H$655</f>
        <v>0</v>
      </c>
      <c r="D789" s="22" t="s">
        <v>1615</v>
      </c>
    </row>
    <row r="790" spans="1:4" ht="24" customHeight="1" x14ac:dyDescent="0.15">
      <c r="A790" s="181" t="s">
        <v>1175</v>
      </c>
      <c r="B790" s="368">
        <f>調査票!$H$656</f>
        <v>0</v>
      </c>
      <c r="D790" s="22" t="s">
        <v>1615</v>
      </c>
    </row>
    <row r="791" spans="1:4" ht="24" customHeight="1" x14ac:dyDescent="0.15">
      <c r="A791" s="181" t="s">
        <v>1176</v>
      </c>
      <c r="B791" s="368">
        <f>調査票!$H$657</f>
        <v>0</v>
      </c>
      <c r="D791" s="22" t="s">
        <v>1615</v>
      </c>
    </row>
    <row r="792" spans="1:4" ht="24" customHeight="1" x14ac:dyDescent="0.15">
      <c r="A792" s="181" t="s">
        <v>1177</v>
      </c>
      <c r="B792" s="368">
        <f>調査票!$H$658</f>
        <v>0</v>
      </c>
      <c r="D792" s="22" t="s">
        <v>1615</v>
      </c>
    </row>
    <row r="793" spans="1:4" ht="24" customHeight="1" x14ac:dyDescent="0.15">
      <c r="A793" s="181" t="s">
        <v>1178</v>
      </c>
      <c r="B793" s="368" t="str">
        <f>調査票!$H$659</f>
        <v/>
      </c>
      <c r="D793" s="22" t="s">
        <v>1615</v>
      </c>
    </row>
    <row r="794" spans="1:4" ht="24" customHeight="1" x14ac:dyDescent="0.15">
      <c r="A794" s="180" t="s">
        <v>1179</v>
      </c>
      <c r="B794" s="368">
        <f>調査票!$J$653</f>
        <v>0</v>
      </c>
      <c r="D794" s="22" t="s">
        <v>1615</v>
      </c>
    </row>
    <row r="795" spans="1:4" ht="24" customHeight="1" x14ac:dyDescent="0.15">
      <c r="A795" s="181" t="s">
        <v>1180</v>
      </c>
      <c r="B795" s="368">
        <f>調査票!$J$654</f>
        <v>0</v>
      </c>
      <c r="D795" s="22" t="s">
        <v>1615</v>
      </c>
    </row>
    <row r="796" spans="1:4" ht="24" customHeight="1" x14ac:dyDescent="0.15">
      <c r="A796" s="181" t="s">
        <v>1181</v>
      </c>
      <c r="B796" s="368">
        <f>調査票!$J$655</f>
        <v>0</v>
      </c>
      <c r="D796" s="22" t="s">
        <v>1615</v>
      </c>
    </row>
    <row r="797" spans="1:4" ht="24" customHeight="1" x14ac:dyDescent="0.15">
      <c r="A797" s="181" t="s">
        <v>1182</v>
      </c>
      <c r="B797" s="368">
        <f>調査票!$J$656</f>
        <v>0</v>
      </c>
      <c r="D797" s="22" t="s">
        <v>1615</v>
      </c>
    </row>
    <row r="798" spans="1:4" ht="24" customHeight="1" x14ac:dyDescent="0.15">
      <c r="A798" s="181" t="s">
        <v>1183</v>
      </c>
      <c r="B798" s="368">
        <f>調査票!$J$657</f>
        <v>0</v>
      </c>
      <c r="D798" s="22" t="s">
        <v>1615</v>
      </c>
    </row>
    <row r="799" spans="1:4" ht="24" customHeight="1" x14ac:dyDescent="0.15">
      <c r="A799" s="181" t="s">
        <v>1184</v>
      </c>
      <c r="B799" s="368">
        <f>調査票!$J$658</f>
        <v>0</v>
      </c>
      <c r="D799" s="22" t="s">
        <v>1615</v>
      </c>
    </row>
    <row r="800" spans="1:4" ht="24" customHeight="1" x14ac:dyDescent="0.15">
      <c r="A800" s="181" t="s">
        <v>1185</v>
      </c>
      <c r="B800" s="368" t="str">
        <f>調査票!$J$659</f>
        <v/>
      </c>
      <c r="D800" s="22" t="s">
        <v>1615</v>
      </c>
    </row>
    <row r="801" spans="1:4" ht="24" customHeight="1" x14ac:dyDescent="0.15">
      <c r="A801" s="180" t="s">
        <v>1186</v>
      </c>
      <c r="B801" s="368">
        <f>調査票!$L$653</f>
        <v>0</v>
      </c>
      <c r="D801" s="22" t="s">
        <v>1615</v>
      </c>
    </row>
    <row r="802" spans="1:4" ht="24" customHeight="1" x14ac:dyDescent="0.15">
      <c r="A802" s="181" t="s">
        <v>1187</v>
      </c>
      <c r="B802" s="368">
        <f>調査票!$L$654</f>
        <v>0</v>
      </c>
      <c r="D802" s="22" t="s">
        <v>1615</v>
      </c>
    </row>
    <row r="803" spans="1:4" ht="24" customHeight="1" x14ac:dyDescent="0.15">
      <c r="A803" s="181" t="s">
        <v>1188</v>
      </c>
      <c r="B803" s="368">
        <f>調査票!$L$655</f>
        <v>0</v>
      </c>
      <c r="D803" s="22" t="s">
        <v>1615</v>
      </c>
    </row>
    <row r="804" spans="1:4" ht="24" customHeight="1" x14ac:dyDescent="0.15">
      <c r="A804" s="181" t="s">
        <v>1189</v>
      </c>
      <c r="B804" s="368">
        <f>調査票!$L$656</f>
        <v>0</v>
      </c>
      <c r="D804" s="22" t="s">
        <v>1615</v>
      </c>
    </row>
    <row r="805" spans="1:4" ht="24" customHeight="1" x14ac:dyDescent="0.15">
      <c r="A805" s="181" t="s">
        <v>1190</v>
      </c>
      <c r="B805" s="368">
        <f>調査票!$L$657</f>
        <v>0</v>
      </c>
      <c r="D805" s="22" t="s">
        <v>1615</v>
      </c>
    </row>
    <row r="806" spans="1:4" ht="24" customHeight="1" x14ac:dyDescent="0.15">
      <c r="A806" s="181" t="s">
        <v>1191</v>
      </c>
      <c r="B806" s="368">
        <f>調査票!$L$658</f>
        <v>0</v>
      </c>
      <c r="D806" s="22" t="s">
        <v>1615</v>
      </c>
    </row>
    <row r="807" spans="1:4" ht="24" customHeight="1" x14ac:dyDescent="0.15">
      <c r="A807" s="181" t="s">
        <v>1192</v>
      </c>
      <c r="B807" s="368" t="str">
        <f>調査票!$L$659</f>
        <v/>
      </c>
      <c r="D807" s="22" t="s">
        <v>1615</v>
      </c>
    </row>
    <row r="808" spans="1:4" ht="24" customHeight="1" x14ac:dyDescent="0.15">
      <c r="A808" s="180" t="s">
        <v>1193</v>
      </c>
      <c r="B808" s="368">
        <f>調査票!$N$653</f>
        <v>0</v>
      </c>
      <c r="D808" s="22" t="s">
        <v>1615</v>
      </c>
    </row>
    <row r="809" spans="1:4" ht="24" customHeight="1" x14ac:dyDescent="0.15">
      <c r="A809" s="181" t="s">
        <v>1194</v>
      </c>
      <c r="B809" s="368">
        <f>調査票!$N$654</f>
        <v>0</v>
      </c>
      <c r="D809" s="22" t="s">
        <v>1615</v>
      </c>
    </row>
    <row r="810" spans="1:4" ht="24" customHeight="1" x14ac:dyDescent="0.15">
      <c r="A810" s="181" t="s">
        <v>1195</v>
      </c>
      <c r="B810" s="368">
        <f>調査票!$N$655</f>
        <v>0</v>
      </c>
      <c r="D810" s="22" t="s">
        <v>1615</v>
      </c>
    </row>
    <row r="811" spans="1:4" ht="24" customHeight="1" x14ac:dyDescent="0.15">
      <c r="A811" s="181" t="s">
        <v>1196</v>
      </c>
      <c r="B811" s="368">
        <f>調査票!$N$656</f>
        <v>0</v>
      </c>
      <c r="D811" s="22" t="s">
        <v>1615</v>
      </c>
    </row>
    <row r="812" spans="1:4" ht="24" customHeight="1" x14ac:dyDescent="0.15">
      <c r="A812" s="181" t="s">
        <v>1197</v>
      </c>
      <c r="B812" s="368">
        <f>調査票!$N$657</f>
        <v>0</v>
      </c>
      <c r="D812" s="22" t="s">
        <v>1615</v>
      </c>
    </row>
    <row r="813" spans="1:4" ht="24" customHeight="1" x14ac:dyDescent="0.15">
      <c r="A813" s="181" t="s">
        <v>1198</v>
      </c>
      <c r="B813" s="368">
        <f>調査票!$N$658</f>
        <v>0</v>
      </c>
      <c r="D813" s="22" t="s">
        <v>1615</v>
      </c>
    </row>
    <row r="814" spans="1:4" ht="24" customHeight="1" x14ac:dyDescent="0.15">
      <c r="A814" s="181" t="s">
        <v>1199</v>
      </c>
      <c r="B814" s="368" t="str">
        <f>調査票!$N$659</f>
        <v/>
      </c>
      <c r="D814" s="22" t="s">
        <v>1615</v>
      </c>
    </row>
    <row r="815" spans="1:4" ht="24" customHeight="1" x14ac:dyDescent="0.15">
      <c r="A815" s="180" t="s">
        <v>1200</v>
      </c>
      <c r="B815" s="368">
        <f>調査票!$P$653</f>
        <v>0</v>
      </c>
      <c r="D815" s="22" t="s">
        <v>1615</v>
      </c>
    </row>
    <row r="816" spans="1:4" ht="24" customHeight="1" x14ac:dyDescent="0.15">
      <c r="A816" s="181" t="s">
        <v>1201</v>
      </c>
      <c r="B816" s="368">
        <f>調査票!$P$654</f>
        <v>0</v>
      </c>
      <c r="D816" s="22" t="s">
        <v>1615</v>
      </c>
    </row>
    <row r="817" spans="1:4" ht="24" customHeight="1" x14ac:dyDescent="0.15">
      <c r="A817" s="181" t="s">
        <v>1202</v>
      </c>
      <c r="B817" s="368">
        <f>調査票!$P$655</f>
        <v>0</v>
      </c>
      <c r="D817" s="22" t="s">
        <v>1615</v>
      </c>
    </row>
    <row r="818" spans="1:4" ht="24" customHeight="1" x14ac:dyDescent="0.15">
      <c r="A818" s="181" t="s">
        <v>1203</v>
      </c>
      <c r="B818" s="368">
        <f>調査票!$P$656</f>
        <v>0</v>
      </c>
      <c r="D818" s="22" t="s">
        <v>1615</v>
      </c>
    </row>
    <row r="819" spans="1:4" ht="24" customHeight="1" x14ac:dyDescent="0.15">
      <c r="A819" s="181" t="s">
        <v>1204</v>
      </c>
      <c r="B819" s="368">
        <f>調査票!$P$657</f>
        <v>0</v>
      </c>
      <c r="D819" s="22" t="s">
        <v>1615</v>
      </c>
    </row>
    <row r="820" spans="1:4" ht="24" customHeight="1" x14ac:dyDescent="0.15">
      <c r="A820" s="181" t="s">
        <v>1205</v>
      </c>
      <c r="B820" s="368">
        <f>調査票!$P$658</f>
        <v>0</v>
      </c>
      <c r="D820" s="22" t="s">
        <v>1615</v>
      </c>
    </row>
    <row r="821" spans="1:4" ht="24" customHeight="1" x14ac:dyDescent="0.15">
      <c r="A821" s="181" t="s">
        <v>1206</v>
      </c>
      <c r="B821" s="368" t="str">
        <f>調査票!$P$659</f>
        <v/>
      </c>
      <c r="D821" s="22" t="s">
        <v>1615</v>
      </c>
    </row>
    <row r="822" spans="1:4" ht="24" customHeight="1" x14ac:dyDescent="0.15">
      <c r="A822" s="180" t="s">
        <v>1207</v>
      </c>
      <c r="B822" s="368">
        <f>調査票!$R$653</f>
        <v>0</v>
      </c>
      <c r="D822" s="22" t="s">
        <v>1615</v>
      </c>
    </row>
    <row r="823" spans="1:4" ht="24" customHeight="1" x14ac:dyDescent="0.15">
      <c r="A823" s="181" t="s">
        <v>1208</v>
      </c>
      <c r="B823" s="368">
        <f>調査票!$R$654</f>
        <v>0</v>
      </c>
      <c r="D823" s="22" t="s">
        <v>1615</v>
      </c>
    </row>
    <row r="824" spans="1:4" ht="24" customHeight="1" x14ac:dyDescent="0.15">
      <c r="A824" s="181" t="s">
        <v>1209</v>
      </c>
      <c r="B824" s="368">
        <f>調査票!$R$655</f>
        <v>0</v>
      </c>
      <c r="D824" s="22" t="s">
        <v>1615</v>
      </c>
    </row>
    <row r="825" spans="1:4" ht="24" customHeight="1" x14ac:dyDescent="0.15">
      <c r="A825" s="181" t="s">
        <v>1210</v>
      </c>
      <c r="B825" s="368">
        <f>調査票!$R$656</f>
        <v>0</v>
      </c>
      <c r="D825" s="22" t="s">
        <v>1615</v>
      </c>
    </row>
    <row r="826" spans="1:4" ht="24" customHeight="1" x14ac:dyDescent="0.15">
      <c r="A826" s="181" t="s">
        <v>1211</v>
      </c>
      <c r="B826" s="368">
        <f>調査票!$R$657</f>
        <v>0</v>
      </c>
      <c r="D826" s="22" t="s">
        <v>1615</v>
      </c>
    </row>
    <row r="827" spans="1:4" ht="24" customHeight="1" x14ac:dyDescent="0.15">
      <c r="A827" s="181" t="s">
        <v>1212</v>
      </c>
      <c r="B827" s="368">
        <f>調査票!$R$658</f>
        <v>0</v>
      </c>
      <c r="D827" s="22" t="s">
        <v>1615</v>
      </c>
    </row>
    <row r="828" spans="1:4" ht="24" customHeight="1" x14ac:dyDescent="0.15">
      <c r="A828" s="181" t="s">
        <v>1213</v>
      </c>
      <c r="B828" s="368" t="str">
        <f>調査票!$R$659</f>
        <v/>
      </c>
      <c r="D828" s="22" t="s">
        <v>1615</v>
      </c>
    </row>
    <row r="829" spans="1:4" ht="24" customHeight="1" x14ac:dyDescent="0.15">
      <c r="A829" s="478" t="s">
        <v>1214</v>
      </c>
      <c r="B829" s="368">
        <f>調査票!$D$667</f>
        <v>0</v>
      </c>
      <c r="D829" s="22" t="s">
        <v>1615</v>
      </c>
    </row>
    <row r="830" spans="1:4" ht="24" customHeight="1" x14ac:dyDescent="0.15">
      <c r="A830" s="479" t="s">
        <v>1215</v>
      </c>
      <c r="B830" s="368">
        <f>調査票!$F$667</f>
        <v>0</v>
      </c>
      <c r="D830" s="22" t="s">
        <v>1615</v>
      </c>
    </row>
    <row r="831" spans="1:4" ht="24" customHeight="1" x14ac:dyDescent="0.15">
      <c r="A831" s="479" t="s">
        <v>1216</v>
      </c>
      <c r="B831" s="369">
        <f>調査票!$H$667</f>
        <v>0</v>
      </c>
      <c r="D831" s="22" t="s">
        <v>1615</v>
      </c>
    </row>
    <row r="832" spans="1:4" ht="24" customHeight="1" x14ac:dyDescent="0.15">
      <c r="A832" s="479" t="s">
        <v>1217</v>
      </c>
      <c r="B832" s="369">
        <f>調査票!$L$667</f>
        <v>0</v>
      </c>
      <c r="D832" s="22" t="s">
        <v>1615</v>
      </c>
    </row>
    <row r="833" spans="1:4" ht="24" customHeight="1" x14ac:dyDescent="0.15">
      <c r="A833" s="479" t="s">
        <v>1218</v>
      </c>
      <c r="B833" s="369">
        <f>調査票!$P$667</f>
        <v>0</v>
      </c>
      <c r="D833" s="22" t="s">
        <v>1615</v>
      </c>
    </row>
    <row r="834" spans="1:4" ht="24" customHeight="1" x14ac:dyDescent="0.15">
      <c r="A834" s="479" t="s">
        <v>1219</v>
      </c>
      <c r="B834" s="369">
        <f>調査票!$S$667</f>
        <v>0</v>
      </c>
      <c r="D834" s="22" t="s">
        <v>1615</v>
      </c>
    </row>
    <row r="835" spans="1:4" ht="24" customHeight="1" x14ac:dyDescent="0.15">
      <c r="A835" s="479" t="s">
        <v>1220</v>
      </c>
      <c r="B835" s="368">
        <f>調査票!$D$668</f>
        <v>0</v>
      </c>
      <c r="D835" s="22" t="s">
        <v>1615</v>
      </c>
    </row>
    <row r="836" spans="1:4" ht="24" customHeight="1" x14ac:dyDescent="0.15">
      <c r="A836" s="479" t="s">
        <v>1221</v>
      </c>
      <c r="B836" s="368">
        <f>調査票!$F$668</f>
        <v>0</v>
      </c>
      <c r="D836" s="22" t="s">
        <v>1615</v>
      </c>
    </row>
    <row r="837" spans="1:4" ht="24" customHeight="1" x14ac:dyDescent="0.15">
      <c r="A837" s="479" t="s">
        <v>1222</v>
      </c>
      <c r="B837" s="369">
        <f>調査票!$H$668</f>
        <v>0</v>
      </c>
      <c r="D837" s="22" t="s">
        <v>1615</v>
      </c>
    </row>
    <row r="838" spans="1:4" ht="24" customHeight="1" x14ac:dyDescent="0.15">
      <c r="A838" s="479" t="s">
        <v>1223</v>
      </c>
      <c r="B838" s="369">
        <f>調査票!$L$668</f>
        <v>0</v>
      </c>
      <c r="D838" s="22" t="s">
        <v>1615</v>
      </c>
    </row>
    <row r="839" spans="1:4" ht="24" customHeight="1" x14ac:dyDescent="0.15">
      <c r="A839" s="479" t="s">
        <v>1224</v>
      </c>
      <c r="B839" s="369">
        <f>調査票!$P$668</f>
        <v>0</v>
      </c>
      <c r="D839" s="22" t="s">
        <v>1615</v>
      </c>
    </row>
    <row r="840" spans="1:4" ht="24" customHeight="1" x14ac:dyDescent="0.15">
      <c r="A840" s="479" t="s">
        <v>1225</v>
      </c>
      <c r="B840" s="369">
        <f>調査票!$S$668</f>
        <v>0</v>
      </c>
      <c r="D840" s="22" t="s">
        <v>1615</v>
      </c>
    </row>
    <row r="841" spans="1:4" ht="24" customHeight="1" x14ac:dyDescent="0.15">
      <c r="A841" s="479" t="s">
        <v>1226</v>
      </c>
      <c r="B841" s="368">
        <f>調査票!$D$669</f>
        <v>0</v>
      </c>
      <c r="D841" s="22" t="s">
        <v>1615</v>
      </c>
    </row>
    <row r="842" spans="1:4" ht="24" customHeight="1" x14ac:dyDescent="0.15">
      <c r="A842" s="479" t="s">
        <v>1227</v>
      </c>
      <c r="B842" s="368">
        <f>調査票!$F$669</f>
        <v>0</v>
      </c>
      <c r="D842" s="22" t="s">
        <v>1615</v>
      </c>
    </row>
    <row r="843" spans="1:4" ht="24" customHeight="1" x14ac:dyDescent="0.15">
      <c r="A843" s="479" t="s">
        <v>1228</v>
      </c>
      <c r="B843" s="369">
        <f>調査票!$H$669</f>
        <v>0</v>
      </c>
      <c r="D843" s="22" t="s">
        <v>1615</v>
      </c>
    </row>
    <row r="844" spans="1:4" ht="24" customHeight="1" x14ac:dyDescent="0.15">
      <c r="A844" s="479" t="s">
        <v>1229</v>
      </c>
      <c r="B844" s="369">
        <f>調査票!$L$669</f>
        <v>0</v>
      </c>
      <c r="D844" s="22" t="s">
        <v>1615</v>
      </c>
    </row>
    <row r="845" spans="1:4" ht="24" customHeight="1" x14ac:dyDescent="0.15">
      <c r="A845" s="479" t="s">
        <v>1230</v>
      </c>
      <c r="B845" s="369">
        <f>調査票!$P$669</f>
        <v>0</v>
      </c>
      <c r="D845" s="22" t="s">
        <v>1615</v>
      </c>
    </row>
    <row r="846" spans="1:4" ht="24" customHeight="1" x14ac:dyDescent="0.15">
      <c r="A846" s="479" t="s">
        <v>1231</v>
      </c>
      <c r="B846" s="369">
        <f>調査票!$S$669</f>
        <v>0</v>
      </c>
      <c r="D846" s="22" t="s">
        <v>1615</v>
      </c>
    </row>
    <row r="847" spans="1:4" ht="24" customHeight="1" x14ac:dyDescent="0.15">
      <c r="A847" s="479" t="s">
        <v>1232</v>
      </c>
      <c r="B847" s="368">
        <f>調査票!$D$670</f>
        <v>0</v>
      </c>
      <c r="D847" s="22" t="s">
        <v>1615</v>
      </c>
    </row>
    <row r="848" spans="1:4" ht="24" customHeight="1" x14ac:dyDescent="0.15">
      <c r="A848" s="479" t="s">
        <v>1233</v>
      </c>
      <c r="B848" s="368">
        <f>調査票!$F$670</f>
        <v>0</v>
      </c>
      <c r="D848" s="22" t="s">
        <v>1615</v>
      </c>
    </row>
    <row r="849" spans="1:10" ht="24" customHeight="1" x14ac:dyDescent="0.15">
      <c r="A849" s="479" t="s">
        <v>1234</v>
      </c>
      <c r="B849" s="369">
        <f>調査票!$H$670</f>
        <v>0</v>
      </c>
      <c r="D849" s="22" t="s">
        <v>1615</v>
      </c>
    </row>
    <row r="850" spans="1:10" ht="24" customHeight="1" x14ac:dyDescent="0.15">
      <c r="A850" s="479" t="s">
        <v>1235</v>
      </c>
      <c r="B850" s="369">
        <f>調査票!$L$670</f>
        <v>0</v>
      </c>
      <c r="D850" s="22" t="s">
        <v>1615</v>
      </c>
    </row>
    <row r="851" spans="1:10" ht="24" customHeight="1" x14ac:dyDescent="0.15">
      <c r="A851" s="479" t="s">
        <v>1236</v>
      </c>
      <c r="B851" s="369">
        <f>調査票!$P$670</f>
        <v>0</v>
      </c>
      <c r="D851" s="22" t="s">
        <v>1615</v>
      </c>
    </row>
    <row r="852" spans="1:10" ht="24" customHeight="1" x14ac:dyDescent="0.15">
      <c r="A852" s="479" t="s">
        <v>1237</v>
      </c>
      <c r="B852" s="369">
        <f>調査票!$S$670</f>
        <v>0</v>
      </c>
      <c r="D852" s="22" t="s">
        <v>1615</v>
      </c>
    </row>
    <row r="853" spans="1:10" ht="24" customHeight="1" x14ac:dyDescent="0.15">
      <c r="A853" s="479" t="s">
        <v>1238</v>
      </c>
      <c r="B853" s="368">
        <f>調査票!$D$671</f>
        <v>0</v>
      </c>
      <c r="D853" s="22" t="s">
        <v>1615</v>
      </c>
    </row>
    <row r="854" spans="1:10" ht="24" customHeight="1" x14ac:dyDescent="0.15">
      <c r="A854" s="479" t="s">
        <v>1239</v>
      </c>
      <c r="B854" s="368">
        <f>調査票!$F$671</f>
        <v>0</v>
      </c>
      <c r="D854" s="22" t="s">
        <v>1615</v>
      </c>
    </row>
    <row r="855" spans="1:10" ht="24" customHeight="1" x14ac:dyDescent="0.15">
      <c r="A855" s="479" t="s">
        <v>1240</v>
      </c>
      <c r="B855" s="369">
        <f>調査票!$H$671</f>
        <v>0</v>
      </c>
      <c r="D855" s="22" t="s">
        <v>1615</v>
      </c>
    </row>
    <row r="856" spans="1:10" ht="24" customHeight="1" x14ac:dyDescent="0.15">
      <c r="A856" s="479" t="s">
        <v>1241</v>
      </c>
      <c r="B856" s="369">
        <f>調査票!$L$671</f>
        <v>0</v>
      </c>
      <c r="D856" s="22" t="s">
        <v>1615</v>
      </c>
    </row>
    <row r="857" spans="1:10" ht="24" customHeight="1" x14ac:dyDescent="0.15">
      <c r="A857" s="479" t="s">
        <v>1242</v>
      </c>
      <c r="B857" s="369">
        <f>調査票!$P$671</f>
        <v>0</v>
      </c>
      <c r="D857" s="22" t="s">
        <v>1615</v>
      </c>
    </row>
    <row r="858" spans="1:10" ht="24" customHeight="1" x14ac:dyDescent="0.15">
      <c r="A858" s="479" t="s">
        <v>1243</v>
      </c>
      <c r="B858" s="369">
        <f>調査票!$S$671</f>
        <v>0</v>
      </c>
      <c r="D858" s="22" t="s">
        <v>1615</v>
      </c>
    </row>
    <row r="859" spans="1:10" ht="24" customHeight="1" x14ac:dyDescent="0.15">
      <c r="A859" s="479" t="s">
        <v>1244</v>
      </c>
      <c r="B859" s="368">
        <f>調査票!$D$672</f>
        <v>0</v>
      </c>
      <c r="D859" s="22" t="s">
        <v>1615</v>
      </c>
    </row>
    <row r="860" spans="1:10" ht="24" customHeight="1" x14ac:dyDescent="0.15">
      <c r="A860" s="479" t="s">
        <v>1245</v>
      </c>
      <c r="B860" s="368">
        <f>調査票!$F$672</f>
        <v>0</v>
      </c>
      <c r="D860" s="22" t="s">
        <v>1615</v>
      </c>
    </row>
    <row r="861" spans="1:10" ht="24" customHeight="1" x14ac:dyDescent="0.15">
      <c r="A861" s="479" t="s">
        <v>1246</v>
      </c>
      <c r="B861" s="369">
        <f>調査票!$H$672</f>
        <v>0</v>
      </c>
      <c r="D861" s="22" t="s">
        <v>1615</v>
      </c>
    </row>
    <row r="862" spans="1:10" ht="24" customHeight="1" x14ac:dyDescent="0.15">
      <c r="A862" s="479" t="s">
        <v>1247</v>
      </c>
      <c r="B862" s="369">
        <f>調査票!$L$672</f>
        <v>0</v>
      </c>
      <c r="D862" s="22" t="s">
        <v>1615</v>
      </c>
    </row>
    <row r="863" spans="1:10" ht="24" customHeight="1" x14ac:dyDescent="0.15">
      <c r="A863" s="479" t="s">
        <v>1248</v>
      </c>
      <c r="B863" s="369">
        <f>調査票!$P$672</f>
        <v>0</v>
      </c>
      <c r="D863" s="22" t="s">
        <v>1615</v>
      </c>
    </row>
    <row r="864" spans="1:10" ht="24" customHeight="1" x14ac:dyDescent="0.15">
      <c r="A864" s="479" t="s">
        <v>1249</v>
      </c>
      <c r="B864" s="369">
        <f>調査票!$S$672</f>
        <v>0</v>
      </c>
      <c r="D864" s="22" t="s">
        <v>1615</v>
      </c>
      <c r="F864" s="182"/>
      <c r="G864" s="182"/>
      <c r="H864" s="182"/>
      <c r="I864" s="182"/>
      <c r="J864" s="182"/>
    </row>
    <row r="865" spans="1:8" ht="24" customHeight="1" x14ac:dyDescent="0.15">
      <c r="A865" s="479" t="s">
        <v>1250</v>
      </c>
      <c r="B865" s="368">
        <f>調査票!$D$673</f>
        <v>0</v>
      </c>
      <c r="D865" s="22" t="s">
        <v>1615</v>
      </c>
      <c r="F865" s="182"/>
      <c r="G865" s="182"/>
      <c r="H865" s="182"/>
    </row>
    <row r="866" spans="1:8" ht="24" customHeight="1" x14ac:dyDescent="0.15">
      <c r="A866" s="479" t="s">
        <v>1251</v>
      </c>
      <c r="B866" s="368">
        <f>調査票!$F$673</f>
        <v>0</v>
      </c>
      <c r="D866" s="22" t="s">
        <v>1615</v>
      </c>
      <c r="F866" s="182"/>
      <c r="G866" s="182"/>
      <c r="H866" s="182"/>
    </row>
    <row r="867" spans="1:8" ht="24" customHeight="1" x14ac:dyDescent="0.15">
      <c r="A867" s="479" t="s">
        <v>1252</v>
      </c>
      <c r="B867" s="369">
        <f>調査票!$H$673</f>
        <v>0</v>
      </c>
      <c r="D867" s="22" t="s">
        <v>1615</v>
      </c>
      <c r="F867" s="182"/>
      <c r="G867" s="182"/>
      <c r="H867" s="182"/>
    </row>
    <row r="868" spans="1:8" ht="24" customHeight="1" x14ac:dyDescent="0.15">
      <c r="A868" s="479" t="s">
        <v>1253</v>
      </c>
      <c r="B868" s="369">
        <f>調査票!$L$673</f>
        <v>0</v>
      </c>
      <c r="D868" s="22" t="s">
        <v>1615</v>
      </c>
      <c r="F868" s="182"/>
      <c r="G868" s="182"/>
      <c r="H868" s="182"/>
    </row>
    <row r="869" spans="1:8" ht="24" customHeight="1" x14ac:dyDescent="0.15">
      <c r="A869" s="479" t="s">
        <v>1254</v>
      </c>
      <c r="B869" s="369">
        <f>調査票!$P$673</f>
        <v>0</v>
      </c>
      <c r="D869" s="22" t="s">
        <v>1615</v>
      </c>
      <c r="F869" s="182"/>
      <c r="G869" s="182"/>
      <c r="H869" s="182"/>
    </row>
    <row r="870" spans="1:8" ht="24" customHeight="1" x14ac:dyDescent="0.15">
      <c r="A870" s="479" t="s">
        <v>1255</v>
      </c>
      <c r="B870" s="369">
        <f>調査票!$S$673</f>
        <v>0</v>
      </c>
      <c r="D870" s="22" t="s">
        <v>1615</v>
      </c>
      <c r="F870" s="182"/>
      <c r="G870" s="182"/>
      <c r="H870" s="182"/>
    </row>
    <row r="871" spans="1:8" ht="24" customHeight="1" x14ac:dyDescent="0.15">
      <c r="A871" s="480" t="s">
        <v>1256</v>
      </c>
      <c r="B871" s="368">
        <f>調査票!F678</f>
        <v>0</v>
      </c>
      <c r="D871" s="22" t="s">
        <v>1615</v>
      </c>
      <c r="F871" s="182"/>
      <c r="G871" s="182"/>
      <c r="H871" s="182"/>
    </row>
    <row r="872" spans="1:8" ht="24" customHeight="1" x14ac:dyDescent="0.15">
      <c r="A872" s="481" t="s">
        <v>1257</v>
      </c>
      <c r="B872" s="369">
        <f>調査票!F679</f>
        <v>0</v>
      </c>
      <c r="D872" s="22" t="s">
        <v>1615</v>
      </c>
      <c r="F872" s="182"/>
      <c r="G872" s="182"/>
      <c r="H872" s="182"/>
    </row>
    <row r="873" spans="1:8" ht="24" customHeight="1" x14ac:dyDescent="0.15">
      <c r="A873" s="186" t="s">
        <v>595</v>
      </c>
      <c r="B873" s="371">
        <f>調査票!L685</f>
        <v>0</v>
      </c>
      <c r="C873" s="182"/>
      <c r="D873" s="182"/>
      <c r="E873" s="182"/>
      <c r="F873" s="182"/>
      <c r="G873" s="182"/>
      <c r="H873" s="182"/>
    </row>
    <row r="874" spans="1:8" ht="24" customHeight="1" x14ac:dyDescent="0.15">
      <c r="A874" s="186" t="s">
        <v>513</v>
      </c>
      <c r="B874" s="371">
        <f ca="1">調査票!L687</f>
        <v>0</v>
      </c>
      <c r="C874" s="182"/>
      <c r="D874" s="182"/>
      <c r="E874" s="182"/>
      <c r="F874" s="182"/>
      <c r="G874" s="182"/>
      <c r="H874" s="182"/>
    </row>
    <row r="875" spans="1:8" ht="24" customHeight="1" x14ac:dyDescent="0.15">
      <c r="A875" s="186" t="s">
        <v>514</v>
      </c>
      <c r="B875" s="371">
        <f ca="1">調査票!L688</f>
        <v>0</v>
      </c>
      <c r="C875" s="182"/>
      <c r="D875" s="182"/>
      <c r="E875" s="182"/>
      <c r="F875" s="182"/>
      <c r="G875" s="182"/>
      <c r="H875" s="182"/>
    </row>
    <row r="876" spans="1:8" ht="24" customHeight="1" x14ac:dyDescent="0.15">
      <c r="A876" s="186" t="s">
        <v>515</v>
      </c>
      <c r="B876" s="371">
        <f ca="1">調査票!L689</f>
        <v>0</v>
      </c>
      <c r="C876" s="182"/>
      <c r="D876" s="182"/>
      <c r="E876" s="182"/>
      <c r="F876" s="182"/>
      <c r="G876" s="182"/>
      <c r="H876" s="182"/>
    </row>
    <row r="877" spans="1:8" ht="24" customHeight="1" x14ac:dyDescent="0.15">
      <c r="A877" s="186" t="s">
        <v>516</v>
      </c>
      <c r="B877" s="371">
        <f ca="1">調査票!L690</f>
        <v>0</v>
      </c>
      <c r="C877" s="182"/>
      <c r="D877" s="182" t="s">
        <v>1615</v>
      </c>
      <c r="E877" s="182"/>
      <c r="F877" s="182"/>
      <c r="G877" s="182"/>
      <c r="H877" s="182"/>
    </row>
    <row r="878" spans="1:8" ht="24" customHeight="1" x14ac:dyDescent="0.15">
      <c r="A878" s="186" t="s">
        <v>517</v>
      </c>
      <c r="B878" s="371">
        <f ca="1">調査票!L691</f>
        <v>0</v>
      </c>
      <c r="C878" s="182"/>
      <c r="D878" s="182" t="s">
        <v>1615</v>
      </c>
      <c r="E878" s="182"/>
      <c r="F878" s="182"/>
      <c r="G878" s="182"/>
      <c r="H878" s="182"/>
    </row>
    <row r="879" spans="1:8" ht="24" customHeight="1" x14ac:dyDescent="0.15">
      <c r="A879" s="186" t="s">
        <v>518</v>
      </c>
      <c r="B879" s="371">
        <f ca="1">調査票!L692</f>
        <v>0</v>
      </c>
      <c r="C879" s="182"/>
      <c r="D879" s="182"/>
      <c r="E879" s="182"/>
      <c r="F879" s="182"/>
      <c r="G879" s="182"/>
      <c r="H879" s="182"/>
    </row>
    <row r="880" spans="1:8" ht="24" customHeight="1" x14ac:dyDescent="0.15">
      <c r="A880" s="186" t="s">
        <v>519</v>
      </c>
      <c r="B880" s="371">
        <f ca="1">調査票!L693</f>
        <v>0</v>
      </c>
      <c r="C880" s="182"/>
      <c r="D880" s="182"/>
      <c r="E880" s="182"/>
      <c r="F880" s="182"/>
      <c r="G880" s="182"/>
      <c r="H880" s="182"/>
    </row>
    <row r="881" spans="1:9" ht="24" customHeight="1" x14ac:dyDescent="0.15">
      <c r="A881" s="186" t="s">
        <v>520</v>
      </c>
      <c r="B881" s="371">
        <f ca="1">調査票!L694</f>
        <v>0</v>
      </c>
      <c r="C881" s="182"/>
      <c r="D881" s="182"/>
      <c r="E881" s="182"/>
      <c r="F881" s="182"/>
      <c r="G881" s="182"/>
      <c r="H881" s="182"/>
    </row>
    <row r="882" spans="1:9" ht="24" customHeight="1" x14ac:dyDescent="0.15">
      <c r="A882" s="186" t="s">
        <v>521</v>
      </c>
      <c r="B882" s="371">
        <f ca="1">調査票!L697</f>
        <v>0</v>
      </c>
      <c r="C882" s="182"/>
      <c r="D882" s="182" t="s">
        <v>1927</v>
      </c>
      <c r="E882" s="182"/>
      <c r="F882" s="182"/>
      <c r="G882" s="182"/>
      <c r="H882" s="182"/>
    </row>
    <row r="883" spans="1:9" ht="24" customHeight="1" x14ac:dyDescent="0.15">
      <c r="A883" s="186" t="s">
        <v>522</v>
      </c>
      <c r="B883" s="371">
        <f ca="1">調査票!L700</f>
        <v>0</v>
      </c>
      <c r="C883" s="182"/>
      <c r="D883" s="182" t="s">
        <v>1927</v>
      </c>
      <c r="E883" s="182"/>
      <c r="F883" s="182"/>
      <c r="G883" s="182"/>
      <c r="H883" s="182"/>
    </row>
    <row r="884" spans="1:9" ht="24" customHeight="1" x14ac:dyDescent="0.15">
      <c r="A884" s="186" t="s">
        <v>523</v>
      </c>
      <c r="B884" s="371">
        <f ca="1">調査票!L703</f>
        <v>0</v>
      </c>
      <c r="C884" s="182"/>
      <c r="D884" s="182" t="s">
        <v>1927</v>
      </c>
      <c r="E884" s="182"/>
      <c r="F884" s="182"/>
      <c r="G884" s="182"/>
      <c r="H884" s="182"/>
    </row>
    <row r="885" spans="1:9" ht="24" customHeight="1" x14ac:dyDescent="0.15">
      <c r="A885" s="186" t="s">
        <v>524</v>
      </c>
      <c r="B885" s="371">
        <f ca="1">調査票!L704</f>
        <v>0</v>
      </c>
      <c r="C885" s="182"/>
      <c r="D885" s="182"/>
      <c r="E885" s="182"/>
      <c r="F885" s="182"/>
      <c r="G885" s="182"/>
      <c r="H885" s="182"/>
    </row>
    <row r="886" spans="1:9" ht="24" customHeight="1" x14ac:dyDescent="0.15">
      <c r="A886" s="186" t="s">
        <v>525</v>
      </c>
      <c r="B886" s="371">
        <f ca="1">調査票!L705</f>
        <v>0</v>
      </c>
      <c r="C886" s="182"/>
      <c r="D886" s="182"/>
      <c r="E886" s="182"/>
      <c r="F886" s="182"/>
      <c r="G886" s="182"/>
      <c r="H886" s="182"/>
    </row>
    <row r="887" spans="1:9" ht="24" customHeight="1" x14ac:dyDescent="0.15">
      <c r="A887" s="186" t="s">
        <v>526</v>
      </c>
      <c r="B887" s="371">
        <f ca="1">調査票!L706</f>
        <v>0</v>
      </c>
      <c r="C887" s="182"/>
      <c r="D887" s="182"/>
      <c r="E887" s="182"/>
      <c r="F887" s="182"/>
      <c r="G887" s="182"/>
      <c r="H887" s="182"/>
    </row>
    <row r="888" spans="1:9" ht="24" customHeight="1" x14ac:dyDescent="0.15">
      <c r="A888" s="186" t="s">
        <v>527</v>
      </c>
      <c r="B888" s="371">
        <f ca="1">調査票!L707</f>
        <v>0</v>
      </c>
      <c r="C888" s="182"/>
      <c r="D888" s="182"/>
      <c r="E888" s="182"/>
      <c r="F888" s="182"/>
      <c r="G888" s="182"/>
      <c r="H888" s="182"/>
    </row>
    <row r="889" spans="1:9" ht="24" customHeight="1" x14ac:dyDescent="0.15">
      <c r="A889" s="186" t="s">
        <v>528</v>
      </c>
      <c r="B889" s="371">
        <f ca="1">調査票!L708</f>
        <v>0</v>
      </c>
      <c r="C889" s="182"/>
      <c r="D889" s="182"/>
      <c r="E889" s="182"/>
      <c r="F889" s="182"/>
      <c r="G889" s="182"/>
      <c r="H889" s="182"/>
    </row>
    <row r="890" spans="1:9" ht="24" customHeight="1" x14ac:dyDescent="0.15">
      <c r="A890" s="186" t="s">
        <v>529</v>
      </c>
      <c r="B890" s="371">
        <f ca="1">調査票!L709</f>
        <v>0</v>
      </c>
      <c r="C890" s="182"/>
      <c r="D890" s="182"/>
      <c r="E890" s="182"/>
      <c r="F890" s="182"/>
      <c r="G890" s="182"/>
      <c r="H890" s="182"/>
    </row>
    <row r="891" spans="1:9" ht="24" customHeight="1" x14ac:dyDescent="0.15">
      <c r="A891" s="186" t="s">
        <v>530</v>
      </c>
      <c r="B891" s="371">
        <f ca="1">調査票!L710</f>
        <v>0</v>
      </c>
      <c r="C891" s="182"/>
      <c r="D891" s="182"/>
      <c r="E891" s="182"/>
      <c r="F891" s="183"/>
      <c r="G891" s="183"/>
      <c r="H891" s="183"/>
    </row>
    <row r="892" spans="1:9" ht="24" customHeight="1" x14ac:dyDescent="0.15">
      <c r="A892" s="186" t="s">
        <v>531</v>
      </c>
      <c r="B892" s="371">
        <f ca="1">調査票!L711</f>
        <v>0</v>
      </c>
      <c r="C892" s="182"/>
      <c r="D892" s="182"/>
      <c r="E892" s="182"/>
      <c r="F892" s="182"/>
      <c r="G892" s="182"/>
      <c r="H892" s="182"/>
    </row>
    <row r="893" spans="1:9" ht="24" customHeight="1" x14ac:dyDescent="0.15">
      <c r="A893" s="186" t="s">
        <v>532</v>
      </c>
      <c r="B893" s="371">
        <f ca="1">調査票!L712</f>
        <v>0</v>
      </c>
      <c r="C893" s="182"/>
      <c r="D893" s="182"/>
      <c r="E893" s="182"/>
      <c r="F893" s="182"/>
      <c r="G893" s="182"/>
      <c r="H893" s="182"/>
      <c r="I893" s="182"/>
    </row>
    <row r="894" spans="1:9" ht="24" customHeight="1" x14ac:dyDescent="0.15">
      <c r="A894" s="186" t="s">
        <v>533</v>
      </c>
      <c r="B894" s="371">
        <f ca="1">調査票!L713</f>
        <v>0</v>
      </c>
      <c r="C894" s="182"/>
      <c r="D894" s="182"/>
      <c r="E894" s="182"/>
      <c r="F894" s="184"/>
      <c r="G894" s="184"/>
      <c r="H894" s="184"/>
    </row>
    <row r="895" spans="1:9" ht="24" customHeight="1" x14ac:dyDescent="0.15">
      <c r="A895" s="186" t="s">
        <v>1617</v>
      </c>
      <c r="B895" s="371">
        <f ca="1">調査票!L714</f>
        <v>0</v>
      </c>
      <c r="C895" s="182"/>
      <c r="D895" s="182" t="s">
        <v>1616</v>
      </c>
      <c r="E895" s="182"/>
      <c r="F895" s="184"/>
      <c r="G895" s="184"/>
      <c r="H895" s="184"/>
    </row>
    <row r="896" spans="1:9" ht="24" customHeight="1" x14ac:dyDescent="0.15">
      <c r="A896" s="186" t="s">
        <v>1618</v>
      </c>
      <c r="B896" s="371">
        <f ca="1">調査票!L715</f>
        <v>0</v>
      </c>
      <c r="C896" s="182"/>
      <c r="D896" s="182" t="s">
        <v>1616</v>
      </c>
      <c r="E896" s="182"/>
      <c r="F896" s="184"/>
      <c r="G896" s="184"/>
      <c r="H896" s="184"/>
    </row>
    <row r="897" spans="1:9" ht="24" customHeight="1" x14ac:dyDescent="0.15">
      <c r="A897" s="186" t="s">
        <v>534</v>
      </c>
      <c r="B897" s="371">
        <f ca="1">調査票!L716</f>
        <v>0</v>
      </c>
      <c r="C897" s="182"/>
      <c r="D897" s="182"/>
      <c r="E897" s="182"/>
      <c r="F897" s="184"/>
      <c r="G897" s="184"/>
      <c r="H897" s="184"/>
    </row>
    <row r="898" spans="1:9" ht="24" customHeight="1" x14ac:dyDescent="0.15">
      <c r="A898" s="186" t="s">
        <v>535</v>
      </c>
      <c r="B898" s="371">
        <f ca="1">調査票!L717</f>
        <v>0</v>
      </c>
      <c r="C898" s="182"/>
      <c r="D898" s="182"/>
      <c r="E898" s="182"/>
      <c r="F898" s="184"/>
      <c r="G898" s="184"/>
      <c r="H898" s="184"/>
      <c r="I898" s="184"/>
    </row>
    <row r="899" spans="1:9" ht="24" customHeight="1" x14ac:dyDescent="0.15">
      <c r="A899" s="186" t="s">
        <v>537</v>
      </c>
      <c r="B899" s="371">
        <f ca="1">調査票!L718</f>
        <v>0</v>
      </c>
      <c r="C899" s="182"/>
      <c r="D899" s="182"/>
      <c r="E899" s="182"/>
      <c r="F899" s="184"/>
      <c r="G899" s="184"/>
      <c r="H899" s="184"/>
    </row>
    <row r="900" spans="1:9" ht="24" customHeight="1" x14ac:dyDescent="0.15">
      <c r="A900" s="187" t="s">
        <v>591</v>
      </c>
      <c r="B900" s="371">
        <f ca="1">調査票!L719</f>
        <v>0</v>
      </c>
      <c r="C900" s="183"/>
      <c r="D900" s="183"/>
      <c r="E900" s="183"/>
      <c r="F900" s="184"/>
      <c r="G900" s="184"/>
      <c r="H900" s="184"/>
    </row>
    <row r="901" spans="1:9" ht="24" customHeight="1" x14ac:dyDescent="0.15">
      <c r="A901" s="186" t="s">
        <v>538</v>
      </c>
      <c r="B901" s="371">
        <f ca="1">調査票!L720</f>
        <v>0</v>
      </c>
      <c r="C901" s="182"/>
      <c r="D901" s="182"/>
      <c r="E901" s="182"/>
      <c r="F901" s="184"/>
      <c r="G901" s="184"/>
      <c r="H901" s="184"/>
    </row>
    <row r="902" spans="1:9" ht="24" customHeight="1" x14ac:dyDescent="0.15">
      <c r="A902" s="186" t="s">
        <v>539</v>
      </c>
      <c r="B902" s="371">
        <f ca="1">調査票!L721</f>
        <v>0</v>
      </c>
      <c r="C902" s="182"/>
      <c r="D902" s="182"/>
      <c r="E902" s="182"/>
      <c r="F902" s="184"/>
      <c r="G902" s="184"/>
      <c r="H902" s="184"/>
      <c r="I902" s="184"/>
    </row>
    <row r="903" spans="1:9" ht="24" customHeight="1" x14ac:dyDescent="0.15">
      <c r="A903" s="188" t="s">
        <v>703</v>
      </c>
      <c r="B903" s="371">
        <f ca="1">調査票!L722</f>
        <v>0</v>
      </c>
      <c r="C903" s="184"/>
      <c r="D903" s="184"/>
      <c r="E903" s="184"/>
      <c r="F903" s="182"/>
      <c r="G903" s="182"/>
      <c r="H903" s="182"/>
    </row>
    <row r="904" spans="1:9" ht="24" customHeight="1" x14ac:dyDescent="0.15">
      <c r="A904" s="188" t="s">
        <v>704</v>
      </c>
      <c r="B904" s="371">
        <f ca="1">調査票!L723</f>
        <v>0</v>
      </c>
      <c r="C904" s="184"/>
      <c r="D904" s="184"/>
      <c r="E904" s="184"/>
      <c r="F904" s="182"/>
      <c r="G904" s="182"/>
      <c r="H904" s="182"/>
    </row>
    <row r="905" spans="1:9" ht="24" customHeight="1" x14ac:dyDescent="0.15">
      <c r="A905" s="188" t="s">
        <v>705</v>
      </c>
      <c r="B905" s="371">
        <f ca="1">調査票!L724</f>
        <v>0</v>
      </c>
      <c r="C905" s="184"/>
      <c r="D905" s="184"/>
      <c r="E905" s="184"/>
      <c r="F905" s="182"/>
      <c r="G905" s="182"/>
      <c r="H905" s="182"/>
    </row>
    <row r="906" spans="1:9" ht="24" customHeight="1" x14ac:dyDescent="0.15">
      <c r="A906" s="188" t="s">
        <v>706</v>
      </c>
      <c r="B906" s="371">
        <f ca="1">調査票!L725</f>
        <v>0</v>
      </c>
      <c r="C906" s="184"/>
      <c r="D906" s="184"/>
      <c r="E906" s="184"/>
      <c r="F906" s="182"/>
      <c r="G906" s="182"/>
      <c r="H906" s="182"/>
    </row>
    <row r="907" spans="1:9" ht="24" customHeight="1" x14ac:dyDescent="0.15">
      <c r="A907" s="188" t="s">
        <v>707</v>
      </c>
      <c r="B907" s="371">
        <f ca="1">調査票!L726</f>
        <v>0</v>
      </c>
      <c r="C907" s="184"/>
      <c r="D907" s="184"/>
      <c r="E907" s="184"/>
      <c r="F907" s="182"/>
      <c r="G907" s="182"/>
      <c r="H907" s="182"/>
    </row>
    <row r="908" spans="1:9" ht="24" customHeight="1" x14ac:dyDescent="0.15">
      <c r="A908" s="188" t="s">
        <v>708</v>
      </c>
      <c r="B908" s="371">
        <f ca="1">調査票!L727</f>
        <v>0</v>
      </c>
      <c r="C908" s="184"/>
      <c r="D908" s="184"/>
      <c r="E908" s="184"/>
      <c r="F908" s="182"/>
      <c r="G908" s="182"/>
      <c r="H908" s="182"/>
    </row>
    <row r="909" spans="1:9" ht="24" customHeight="1" x14ac:dyDescent="0.15">
      <c r="A909" s="188" t="s">
        <v>709</v>
      </c>
      <c r="B909" s="371">
        <f>調査票!L728</f>
        <v>0</v>
      </c>
      <c r="C909" s="184"/>
      <c r="D909" s="184" t="s">
        <v>1928</v>
      </c>
      <c r="E909" s="184"/>
      <c r="F909" s="182"/>
      <c r="G909" s="182"/>
      <c r="H909" s="182"/>
    </row>
    <row r="910" spans="1:9" ht="24" customHeight="1" x14ac:dyDescent="0.15">
      <c r="A910" s="188" t="s">
        <v>710</v>
      </c>
      <c r="B910" s="371">
        <f>調査票!L729</f>
        <v>0</v>
      </c>
      <c r="C910" s="184"/>
      <c r="D910" s="184" t="s">
        <v>1928</v>
      </c>
      <c r="E910" s="184"/>
      <c r="F910" s="182"/>
      <c r="G910" s="182"/>
      <c r="H910" s="182"/>
    </row>
    <row r="911" spans="1:9" ht="24" customHeight="1" x14ac:dyDescent="0.15">
      <c r="A911" s="188" t="s">
        <v>711</v>
      </c>
      <c r="B911" s="371">
        <f>調査票!L730</f>
        <v>0</v>
      </c>
      <c r="C911" s="184"/>
      <c r="D911" s="184" t="s">
        <v>1928</v>
      </c>
      <c r="E911" s="184"/>
      <c r="F911" s="182"/>
      <c r="G911" s="182"/>
      <c r="H911" s="182"/>
    </row>
    <row r="912" spans="1:9" ht="24" customHeight="1" x14ac:dyDescent="0.15">
      <c r="A912" s="186" t="s">
        <v>541</v>
      </c>
      <c r="B912" s="371" t="str">
        <f>調査票!L733</f>
        <v>3.拠点区分</v>
      </c>
      <c r="C912" s="182"/>
      <c r="D912" s="182"/>
      <c r="E912" s="182"/>
      <c r="F912" s="182"/>
      <c r="G912" s="182"/>
      <c r="H912" s="182"/>
    </row>
    <row r="913" spans="1:15" ht="24" customHeight="1" x14ac:dyDescent="0.15">
      <c r="A913" s="186" t="s">
        <v>542</v>
      </c>
      <c r="B913" s="371">
        <f ca="1">調査票!L734</f>
        <v>0</v>
      </c>
      <c r="C913" s="182"/>
      <c r="D913" s="182"/>
      <c r="E913" s="182"/>
      <c r="F913" s="182"/>
      <c r="H913" s="487"/>
      <c r="I913" s="487"/>
      <c r="J913" s="487"/>
      <c r="K913" s="487"/>
      <c r="L913" s="487"/>
      <c r="M913" s="487"/>
      <c r="N913" s="487"/>
      <c r="O913" s="487"/>
    </row>
    <row r="914" spans="1:15" ht="24" customHeight="1" x14ac:dyDescent="0.15">
      <c r="A914" s="490" t="s">
        <v>543</v>
      </c>
      <c r="B914" s="371">
        <f ca="1">調査票!L735</f>
        <v>0</v>
      </c>
      <c r="C914" s="182"/>
      <c r="D914" s="182"/>
      <c r="E914" s="182"/>
      <c r="F914" s="182"/>
      <c r="H914" s="487"/>
      <c r="I914" s="487"/>
      <c r="J914" s="487"/>
      <c r="K914" s="487"/>
      <c r="L914" s="487"/>
      <c r="M914" s="487"/>
      <c r="N914" s="487"/>
      <c r="O914" s="487"/>
    </row>
    <row r="915" spans="1:15" ht="24" customHeight="1" x14ac:dyDescent="0.15">
      <c r="A915" s="490" t="s">
        <v>544</v>
      </c>
      <c r="B915" s="371">
        <f ca="1">調査票!L736</f>
        <v>0</v>
      </c>
      <c r="C915" s="182"/>
      <c r="D915" s="182"/>
      <c r="E915" s="182"/>
      <c r="F915" s="182"/>
      <c r="H915" s="487"/>
      <c r="I915" s="487"/>
      <c r="J915" s="487"/>
      <c r="K915" s="487"/>
      <c r="L915" s="487"/>
      <c r="M915" s="487"/>
      <c r="N915" s="487"/>
      <c r="O915" s="487"/>
    </row>
    <row r="916" spans="1:15" ht="24" customHeight="1" x14ac:dyDescent="0.15">
      <c r="A916" s="490" t="s">
        <v>1940</v>
      </c>
      <c r="B916" s="371">
        <f ca="1">調査票!L737</f>
        <v>0</v>
      </c>
      <c r="C916" s="182"/>
      <c r="D916" s="182"/>
      <c r="E916" s="182"/>
      <c r="F916" s="182"/>
      <c r="H916" s="487"/>
      <c r="I916" s="487"/>
      <c r="J916" s="487"/>
      <c r="K916" s="487"/>
      <c r="L916" s="487"/>
      <c r="M916" s="487"/>
      <c r="N916" s="487"/>
      <c r="O916" s="487"/>
    </row>
    <row r="917" spans="1:15" ht="24" customHeight="1" x14ac:dyDescent="0.15">
      <c r="A917" s="490" t="s">
        <v>545</v>
      </c>
      <c r="B917" s="371">
        <f ca="1">調査票!L738</f>
        <v>0</v>
      </c>
      <c r="C917" s="182"/>
      <c r="D917" s="182"/>
      <c r="E917" s="182"/>
      <c r="F917" s="182"/>
      <c r="H917" s="487"/>
      <c r="I917" s="487"/>
      <c r="J917" s="487"/>
      <c r="K917" s="487"/>
      <c r="L917" s="487"/>
      <c r="M917" s="487"/>
      <c r="N917" s="487"/>
      <c r="O917" s="487"/>
    </row>
    <row r="918" spans="1:15" ht="24" customHeight="1" x14ac:dyDescent="0.15">
      <c r="A918" s="490" t="s">
        <v>546</v>
      </c>
      <c r="B918" s="371">
        <f ca="1">調査票!L739</f>
        <v>0</v>
      </c>
      <c r="C918" s="182"/>
      <c r="D918" s="182"/>
      <c r="E918" s="182"/>
      <c r="F918" s="182"/>
      <c r="H918" s="487"/>
      <c r="I918" s="487"/>
      <c r="J918" s="487"/>
      <c r="K918" s="487"/>
      <c r="L918" s="487"/>
      <c r="M918" s="487"/>
      <c r="N918" s="487"/>
      <c r="O918" s="487"/>
    </row>
    <row r="919" spans="1:15" ht="24" customHeight="1" x14ac:dyDescent="0.15">
      <c r="A919" s="490" t="s">
        <v>547</v>
      </c>
      <c r="B919" s="371">
        <f ca="1">調査票!L740</f>
        <v>0</v>
      </c>
      <c r="C919" s="182"/>
      <c r="D919" s="182"/>
      <c r="E919" s="182"/>
      <c r="F919" s="182"/>
      <c r="H919" s="487"/>
      <c r="I919" s="487"/>
      <c r="J919" s="487"/>
      <c r="K919" s="487"/>
      <c r="L919" s="487"/>
      <c r="M919" s="487"/>
      <c r="N919" s="487"/>
      <c r="O919" s="487"/>
    </row>
    <row r="920" spans="1:15" ht="24" customHeight="1" x14ac:dyDescent="0.15">
      <c r="A920" s="490" t="s">
        <v>548</v>
      </c>
      <c r="B920" s="371">
        <f ca="1">調査票!L741</f>
        <v>0</v>
      </c>
      <c r="C920" s="182"/>
      <c r="D920" s="182"/>
      <c r="E920" s="182"/>
      <c r="F920" s="182"/>
      <c r="H920" s="487"/>
      <c r="I920" s="487"/>
      <c r="J920" s="487"/>
      <c r="K920" s="487"/>
      <c r="L920" s="487"/>
      <c r="M920" s="487"/>
      <c r="N920" s="487"/>
      <c r="O920" s="487"/>
    </row>
    <row r="921" spans="1:15" ht="24" customHeight="1" x14ac:dyDescent="0.15">
      <c r="A921" s="186" t="s">
        <v>549</v>
      </c>
      <c r="B921" s="371">
        <f ca="1">調査票!L742</f>
        <v>0</v>
      </c>
      <c r="C921" s="182"/>
      <c r="D921" s="182"/>
      <c r="E921" s="182"/>
      <c r="F921" s="182"/>
      <c r="H921" s="487"/>
      <c r="I921" s="487"/>
      <c r="J921" s="487"/>
      <c r="K921" s="487"/>
      <c r="L921" s="487"/>
      <c r="M921" s="487"/>
      <c r="N921" s="487"/>
      <c r="O921" s="487"/>
    </row>
    <row r="922" spans="1:15" ht="24" customHeight="1" x14ac:dyDescent="0.15">
      <c r="A922" s="186" t="s">
        <v>550</v>
      </c>
      <c r="B922" s="371">
        <f ca="1">調査票!L743</f>
        <v>0</v>
      </c>
      <c r="C922" s="182"/>
      <c r="D922" s="182"/>
      <c r="E922" s="182"/>
      <c r="F922" s="182"/>
      <c r="H922" s="487"/>
      <c r="I922" s="487"/>
      <c r="J922" s="487"/>
      <c r="K922" s="487"/>
      <c r="L922" s="487"/>
      <c r="M922" s="487"/>
      <c r="N922" s="487"/>
      <c r="O922" s="487"/>
    </row>
    <row r="923" spans="1:15" ht="24" customHeight="1" x14ac:dyDescent="0.15">
      <c r="A923" s="489" t="s">
        <v>1935</v>
      </c>
      <c r="B923" s="371">
        <f ca="1">調査票!L744</f>
        <v>0</v>
      </c>
      <c r="C923" s="182"/>
      <c r="D923" s="182"/>
      <c r="E923" s="182"/>
      <c r="F923" s="182"/>
      <c r="H923" s="182"/>
    </row>
    <row r="924" spans="1:15" ht="24" customHeight="1" x14ac:dyDescent="0.15">
      <c r="A924" s="489" t="s">
        <v>1936</v>
      </c>
      <c r="B924" s="371">
        <f ca="1">調査票!L745</f>
        <v>0</v>
      </c>
      <c r="C924" s="182"/>
      <c r="D924" s="182"/>
      <c r="E924" s="182"/>
      <c r="F924" s="182"/>
      <c r="H924" s="182"/>
    </row>
    <row r="925" spans="1:15" ht="24" customHeight="1" x14ac:dyDescent="0.15">
      <c r="A925" s="489" t="s">
        <v>1937</v>
      </c>
      <c r="B925" s="371">
        <f ca="1">調査票!L746</f>
        <v>0</v>
      </c>
      <c r="C925" s="182"/>
      <c r="D925" s="182"/>
      <c r="E925" s="182"/>
      <c r="F925" s="182"/>
      <c r="H925" s="182"/>
    </row>
    <row r="926" spans="1:15" ht="24" customHeight="1" x14ac:dyDescent="0.15">
      <c r="A926" s="489" t="s">
        <v>1938</v>
      </c>
      <c r="B926" s="371">
        <f ca="1">調査票!L747</f>
        <v>0</v>
      </c>
      <c r="C926" s="182"/>
      <c r="D926" s="182"/>
      <c r="E926" s="182"/>
      <c r="F926" s="182"/>
      <c r="H926" s="182"/>
    </row>
    <row r="927" spans="1:15" ht="24" customHeight="1" x14ac:dyDescent="0.15">
      <c r="A927" s="186" t="s">
        <v>551</v>
      </c>
      <c r="B927" s="371">
        <f ca="1">調査票!L748</f>
        <v>0</v>
      </c>
      <c r="C927" s="182"/>
      <c r="D927" s="182"/>
      <c r="E927" s="182"/>
      <c r="F927" s="182"/>
      <c r="H927" s="182"/>
    </row>
    <row r="928" spans="1:15" ht="24" customHeight="1" x14ac:dyDescent="0.15">
      <c r="A928" s="488" t="s">
        <v>1941</v>
      </c>
      <c r="B928" s="371">
        <f ca="1">調査票!L749</f>
        <v>0</v>
      </c>
      <c r="C928" s="182"/>
      <c r="D928" s="182"/>
      <c r="E928" s="182"/>
      <c r="F928" s="182"/>
      <c r="H928" s="182"/>
    </row>
    <row r="929" spans="1:10" ht="24" customHeight="1" x14ac:dyDescent="0.15">
      <c r="A929" s="488" t="s">
        <v>1942</v>
      </c>
      <c r="B929" s="371">
        <f ca="1">調査票!L750</f>
        <v>0</v>
      </c>
      <c r="C929" s="182"/>
      <c r="D929" s="182"/>
      <c r="E929" s="182"/>
      <c r="F929" s="182"/>
      <c r="H929" s="182"/>
    </row>
    <row r="930" spans="1:10" ht="24" customHeight="1" x14ac:dyDescent="0.15">
      <c r="A930" s="488" t="s">
        <v>1943</v>
      </c>
      <c r="B930" s="371">
        <f ca="1">調査票!L751</f>
        <v>0</v>
      </c>
      <c r="C930" s="182"/>
      <c r="D930" s="182"/>
      <c r="E930" s="182"/>
      <c r="F930" s="182"/>
      <c r="H930" s="182"/>
    </row>
    <row r="931" spans="1:10" ht="24" customHeight="1" x14ac:dyDescent="0.15">
      <c r="A931" s="488" t="s">
        <v>1944</v>
      </c>
      <c r="B931" s="371">
        <f ca="1">調査票!L752</f>
        <v>0</v>
      </c>
      <c r="C931" s="182"/>
      <c r="D931" s="182"/>
      <c r="E931" s="182"/>
      <c r="F931" s="182"/>
      <c r="H931" s="182"/>
    </row>
    <row r="932" spans="1:10" ht="24" customHeight="1" x14ac:dyDescent="0.15">
      <c r="A932" s="488" t="s">
        <v>1945</v>
      </c>
      <c r="B932" s="371">
        <f ca="1">調査票!L753</f>
        <v>0</v>
      </c>
      <c r="C932" s="182"/>
      <c r="D932" s="182"/>
      <c r="E932" s="182"/>
      <c r="F932" s="182"/>
      <c r="H932" s="182"/>
    </row>
    <row r="933" spans="1:10" ht="24" customHeight="1" x14ac:dyDescent="0.15">
      <c r="A933" s="488" t="s">
        <v>1946</v>
      </c>
      <c r="B933" s="371">
        <f ca="1">調査票!L754</f>
        <v>0</v>
      </c>
      <c r="C933" s="182"/>
      <c r="D933" s="182"/>
      <c r="E933" s="182"/>
      <c r="F933" s="182"/>
      <c r="G933" s="487"/>
      <c r="H933" s="182"/>
    </row>
    <row r="934" spans="1:10" ht="24" customHeight="1" x14ac:dyDescent="0.15">
      <c r="A934" s="488" t="s">
        <v>1950</v>
      </c>
      <c r="B934" s="371">
        <f ca="1">調査票!L755</f>
        <v>0</v>
      </c>
      <c r="C934" s="182"/>
      <c r="D934" s="182"/>
      <c r="E934" s="182"/>
      <c r="F934" s="182"/>
      <c r="G934" s="487"/>
      <c r="H934" s="182"/>
    </row>
    <row r="935" spans="1:10" ht="24" customHeight="1" x14ac:dyDescent="0.15">
      <c r="A935" s="488" t="s">
        <v>1949</v>
      </c>
      <c r="B935" s="371">
        <f ca="1">調査票!L756</f>
        <v>0</v>
      </c>
      <c r="C935" s="182"/>
      <c r="D935" s="182"/>
      <c r="E935" s="182"/>
      <c r="F935" s="182"/>
      <c r="G935" s="487"/>
      <c r="H935" s="182"/>
    </row>
    <row r="936" spans="1:10" ht="24" customHeight="1" x14ac:dyDescent="0.15">
      <c r="A936" s="488" t="s">
        <v>1947</v>
      </c>
      <c r="B936" s="371">
        <f ca="1">調査票!L757</f>
        <v>0</v>
      </c>
      <c r="C936" s="182"/>
      <c r="D936" s="182"/>
      <c r="E936" s="182"/>
      <c r="F936" s="182"/>
      <c r="G936" s="487"/>
      <c r="H936" s="182"/>
    </row>
    <row r="937" spans="1:10" ht="24" customHeight="1" x14ac:dyDescent="0.15">
      <c r="A937" s="488" t="s">
        <v>1948</v>
      </c>
      <c r="B937" s="371">
        <f ca="1">調査票!L758</f>
        <v>0</v>
      </c>
      <c r="C937" s="182"/>
      <c r="D937" s="182"/>
      <c r="E937" s="182"/>
      <c r="F937" s="182"/>
      <c r="G937" s="487"/>
      <c r="H937" s="182"/>
    </row>
    <row r="938" spans="1:10" ht="24" customHeight="1" x14ac:dyDescent="0.15">
      <c r="A938" s="482" t="s">
        <v>1747</v>
      </c>
      <c r="B938" s="371">
        <f ca="1">調査票!L759</f>
        <v>0</v>
      </c>
      <c r="C938" s="182"/>
      <c r="D938" s="182" t="s">
        <v>1874</v>
      </c>
      <c r="E938" s="182"/>
      <c r="F938" s="182"/>
      <c r="H938" s="182"/>
    </row>
    <row r="939" spans="1:10" ht="24" customHeight="1" x14ac:dyDescent="0.15">
      <c r="A939" s="186" t="s">
        <v>552</v>
      </c>
      <c r="B939" s="371">
        <f ca="1">調査票!L760</f>
        <v>0</v>
      </c>
      <c r="C939" s="182"/>
      <c r="D939" s="182"/>
      <c r="E939" s="182"/>
      <c r="F939" s="182"/>
      <c r="H939" s="182"/>
    </row>
    <row r="940" spans="1:10" ht="24" customHeight="1" x14ac:dyDescent="0.15">
      <c r="A940" s="186" t="s">
        <v>553</v>
      </c>
      <c r="B940" s="371">
        <f ca="1">調査票!L761</f>
        <v>0</v>
      </c>
      <c r="C940" s="182"/>
      <c r="D940" s="182"/>
      <c r="E940" s="182"/>
      <c r="F940" s="182"/>
      <c r="H940" s="182"/>
    </row>
    <row r="941" spans="1:10" ht="24" customHeight="1" x14ac:dyDescent="0.15">
      <c r="A941" s="186" t="s">
        <v>554</v>
      </c>
      <c r="B941" s="371">
        <f ca="1">調査票!L762</f>
        <v>0</v>
      </c>
      <c r="C941" s="182"/>
      <c r="D941" s="182"/>
      <c r="E941" s="182"/>
      <c r="F941" s="183"/>
      <c r="H941" s="183"/>
      <c r="I941" s="183"/>
      <c r="J941" s="183"/>
    </row>
    <row r="942" spans="1:10" ht="24" customHeight="1" x14ac:dyDescent="0.15">
      <c r="A942" s="186" t="s">
        <v>555</v>
      </c>
      <c r="B942" s="371">
        <f ca="1">調査票!L763</f>
        <v>0</v>
      </c>
      <c r="C942" s="182"/>
      <c r="D942" s="182"/>
      <c r="E942" s="182"/>
      <c r="F942" s="185"/>
      <c r="H942" s="185"/>
    </row>
    <row r="943" spans="1:10" ht="24" customHeight="1" x14ac:dyDescent="0.15">
      <c r="A943" s="186" t="s">
        <v>556</v>
      </c>
      <c r="B943" s="371">
        <f ca="1">調査票!L764</f>
        <v>0</v>
      </c>
      <c r="C943" s="182"/>
      <c r="D943" s="182"/>
      <c r="E943" s="182"/>
      <c r="F943" s="185"/>
      <c r="G943" s="185"/>
      <c r="H943" s="185"/>
    </row>
    <row r="944" spans="1:10" ht="24" customHeight="1" x14ac:dyDescent="0.15">
      <c r="A944" s="186" t="s">
        <v>557</v>
      </c>
      <c r="B944" s="371">
        <f ca="1">調査票!L765</f>
        <v>0</v>
      </c>
      <c r="C944" s="182"/>
      <c r="D944" s="182"/>
      <c r="E944" s="182"/>
      <c r="F944" s="185"/>
      <c r="G944" s="185"/>
      <c r="H944" s="185"/>
    </row>
    <row r="945" spans="1:9" ht="24" customHeight="1" x14ac:dyDescent="0.15">
      <c r="A945" s="482" t="s">
        <v>1748</v>
      </c>
      <c r="B945" s="371">
        <f ca="1">調査票!L766</f>
        <v>0</v>
      </c>
      <c r="C945" s="182"/>
      <c r="D945" s="182" t="s">
        <v>1874</v>
      </c>
      <c r="E945" s="182"/>
      <c r="F945" s="185"/>
      <c r="G945" s="185"/>
      <c r="H945" s="185"/>
    </row>
    <row r="946" spans="1:9" ht="24" customHeight="1" x14ac:dyDescent="0.15">
      <c r="A946" s="186" t="s">
        <v>558</v>
      </c>
      <c r="B946" s="371">
        <f ca="1">調査票!L767</f>
        <v>0</v>
      </c>
      <c r="C946" s="182"/>
      <c r="D946" s="182"/>
      <c r="E946" s="182"/>
      <c r="F946" s="185"/>
      <c r="G946" s="185"/>
      <c r="H946" s="185"/>
    </row>
    <row r="947" spans="1:9" ht="24" customHeight="1" x14ac:dyDescent="0.15">
      <c r="A947" s="186" t="s">
        <v>559</v>
      </c>
      <c r="B947" s="371">
        <f ca="1">調査票!L768</f>
        <v>0</v>
      </c>
      <c r="C947" s="182"/>
      <c r="D947" s="182"/>
      <c r="E947" s="182"/>
      <c r="F947" s="185"/>
      <c r="G947" s="185"/>
      <c r="H947" s="185"/>
    </row>
    <row r="948" spans="1:9" ht="24" customHeight="1" x14ac:dyDescent="0.15">
      <c r="A948" s="186" t="s">
        <v>560</v>
      </c>
      <c r="B948" s="371">
        <f ca="1">調査票!L769</f>
        <v>0</v>
      </c>
      <c r="C948" s="182"/>
      <c r="D948" s="182"/>
      <c r="E948" s="182"/>
      <c r="F948" s="185"/>
      <c r="G948" s="185"/>
      <c r="H948" s="185"/>
    </row>
    <row r="949" spans="1:9" ht="24" customHeight="1" x14ac:dyDescent="0.15">
      <c r="A949" s="186" t="s">
        <v>561</v>
      </c>
      <c r="B949" s="371">
        <f ca="1">調査票!L770</f>
        <v>0</v>
      </c>
      <c r="C949" s="182"/>
      <c r="D949" s="182"/>
      <c r="E949" s="182"/>
      <c r="F949" s="185"/>
      <c r="G949" s="185"/>
      <c r="H949" s="185"/>
    </row>
    <row r="950" spans="1:9" ht="24" customHeight="1" x14ac:dyDescent="0.15">
      <c r="A950" s="186" t="s">
        <v>562</v>
      </c>
      <c r="B950" s="371">
        <f ca="1">調査票!L771</f>
        <v>0</v>
      </c>
      <c r="C950" s="182"/>
      <c r="D950" s="182"/>
      <c r="E950" s="182"/>
      <c r="F950" s="185"/>
      <c r="G950" s="185"/>
      <c r="H950" s="185"/>
    </row>
    <row r="951" spans="1:9" ht="24" customHeight="1" x14ac:dyDescent="0.15">
      <c r="A951" s="482" t="s">
        <v>1929</v>
      </c>
      <c r="B951" s="371">
        <f ca="1">調査票!L772</f>
        <v>0</v>
      </c>
      <c r="C951" s="182"/>
      <c r="D951" s="182" t="s">
        <v>1874</v>
      </c>
      <c r="E951" s="182"/>
      <c r="F951" s="185"/>
      <c r="G951" s="185"/>
      <c r="H951" s="185"/>
    </row>
    <row r="952" spans="1:9" ht="24" customHeight="1" x14ac:dyDescent="0.15">
      <c r="A952" s="187" t="s">
        <v>564</v>
      </c>
      <c r="B952" s="372">
        <f>調査票!N778</f>
        <v>0</v>
      </c>
      <c r="C952" s="183"/>
      <c r="D952" s="183"/>
      <c r="E952" s="183"/>
      <c r="F952" s="185"/>
      <c r="G952" s="185"/>
      <c r="H952" s="185"/>
    </row>
    <row r="953" spans="1:9" ht="24" customHeight="1" x14ac:dyDescent="0.15">
      <c r="A953" s="189" t="s">
        <v>565</v>
      </c>
      <c r="B953" s="372">
        <f ca="1">調査票!N780</f>
        <v>0</v>
      </c>
      <c r="C953" s="185"/>
      <c r="D953" s="185"/>
      <c r="E953" s="185"/>
      <c r="F953" s="185"/>
      <c r="G953" s="185"/>
      <c r="H953" s="185"/>
    </row>
    <row r="954" spans="1:9" ht="24" customHeight="1" x14ac:dyDescent="0.15">
      <c r="A954" s="189" t="s">
        <v>566</v>
      </c>
      <c r="B954" s="372">
        <f ca="1">調査票!N781</f>
        <v>0</v>
      </c>
      <c r="C954" s="185"/>
      <c r="D954" s="185"/>
      <c r="E954" s="185"/>
      <c r="F954" s="185"/>
      <c r="G954" s="185"/>
      <c r="H954" s="185"/>
    </row>
    <row r="955" spans="1:9" ht="24" customHeight="1" x14ac:dyDescent="0.15">
      <c r="A955" s="189" t="s">
        <v>567</v>
      </c>
      <c r="B955" s="372">
        <f ca="1">調査票!N782</f>
        <v>0</v>
      </c>
      <c r="C955" s="185"/>
      <c r="D955" s="185"/>
      <c r="E955" s="185"/>
      <c r="F955" s="185"/>
      <c r="G955" s="185"/>
      <c r="H955" s="185"/>
    </row>
    <row r="956" spans="1:9" ht="24" customHeight="1" x14ac:dyDescent="0.15">
      <c r="A956" s="189" t="s">
        <v>568</v>
      </c>
      <c r="B956" s="372">
        <f ca="1">調査票!N783</f>
        <v>0</v>
      </c>
      <c r="C956" s="185"/>
      <c r="D956" s="185"/>
      <c r="E956" s="185"/>
      <c r="F956" s="185"/>
      <c r="G956" s="185"/>
      <c r="H956" s="185"/>
    </row>
    <row r="957" spans="1:9" ht="24" customHeight="1" x14ac:dyDescent="0.15">
      <c r="A957" s="189" t="s">
        <v>569</v>
      </c>
      <c r="B957" s="372">
        <f ca="1">調査票!N784</f>
        <v>0</v>
      </c>
      <c r="C957" s="185"/>
      <c r="D957" s="185"/>
      <c r="E957" s="185"/>
      <c r="F957" s="185"/>
      <c r="G957" s="185"/>
      <c r="H957" s="185"/>
    </row>
    <row r="958" spans="1:9" ht="24" customHeight="1" x14ac:dyDescent="0.15">
      <c r="A958" s="189" t="s">
        <v>570</v>
      </c>
      <c r="B958" s="372">
        <f ca="1">調査票!N785</f>
        <v>0</v>
      </c>
      <c r="C958" s="185"/>
      <c r="D958" s="185"/>
      <c r="E958" s="185"/>
      <c r="F958" s="185"/>
      <c r="G958" s="185"/>
      <c r="H958" s="185"/>
    </row>
    <row r="959" spans="1:9" ht="24" customHeight="1" x14ac:dyDescent="0.15">
      <c r="A959" s="189" t="s">
        <v>571</v>
      </c>
      <c r="B959" s="372">
        <f ca="1">調査票!N786</f>
        <v>0</v>
      </c>
      <c r="C959" s="185"/>
      <c r="D959" s="185"/>
      <c r="E959" s="185"/>
      <c r="F959" s="185"/>
      <c r="G959" s="185"/>
      <c r="H959" s="185"/>
      <c r="I959" s="185"/>
    </row>
    <row r="960" spans="1:9" ht="24" customHeight="1" x14ac:dyDescent="0.15">
      <c r="A960" s="189" t="s">
        <v>572</v>
      </c>
      <c r="B960" s="372">
        <f ca="1">調査票!N787</f>
        <v>0</v>
      </c>
      <c r="C960" s="185"/>
      <c r="D960" s="185"/>
      <c r="E960" s="185"/>
      <c r="F960" s="185"/>
      <c r="G960" s="185"/>
      <c r="H960" s="185"/>
    </row>
    <row r="961" spans="1:10" ht="24" customHeight="1" x14ac:dyDescent="0.15">
      <c r="A961" s="189" t="s">
        <v>573</v>
      </c>
      <c r="B961" s="372">
        <f ca="1">調査票!N788</f>
        <v>0</v>
      </c>
      <c r="C961" s="185"/>
      <c r="D961" s="185"/>
      <c r="E961" s="185"/>
      <c r="F961" s="185"/>
      <c r="G961" s="185"/>
      <c r="H961" s="185"/>
    </row>
    <row r="962" spans="1:10" ht="24" customHeight="1" x14ac:dyDescent="0.15">
      <c r="A962" s="189" t="s">
        <v>574</v>
      </c>
      <c r="B962" s="372">
        <f ca="1">調査票!N789</f>
        <v>0</v>
      </c>
      <c r="C962" s="185"/>
      <c r="D962" s="185"/>
      <c r="E962" s="185"/>
      <c r="F962" s="185"/>
      <c r="G962" s="185"/>
      <c r="H962" s="185"/>
    </row>
    <row r="963" spans="1:10" ht="24" customHeight="1" x14ac:dyDescent="0.15">
      <c r="A963" s="189" t="s">
        <v>536</v>
      </c>
      <c r="B963" s="372">
        <f ca="1">調査票!N790</f>
        <v>0</v>
      </c>
      <c r="C963" s="185"/>
      <c r="D963" s="185"/>
      <c r="E963" s="185"/>
      <c r="F963" s="185"/>
      <c r="G963" s="185"/>
      <c r="H963" s="185"/>
      <c r="I963" s="185"/>
    </row>
    <row r="964" spans="1:10" ht="24" customHeight="1" x14ac:dyDescent="0.15">
      <c r="A964" s="189" t="s">
        <v>575</v>
      </c>
      <c r="B964" s="372">
        <f ca="1">調査票!N791</f>
        <v>0</v>
      </c>
      <c r="C964" s="185"/>
      <c r="D964" s="185"/>
      <c r="E964" s="185"/>
      <c r="F964" s="185"/>
      <c r="G964" s="185"/>
      <c r="H964" s="185"/>
    </row>
    <row r="965" spans="1:10" ht="24" customHeight="1" x14ac:dyDescent="0.15">
      <c r="A965" s="189" t="s">
        <v>576</v>
      </c>
      <c r="B965" s="372">
        <f ca="1">調査票!N792</f>
        <v>0</v>
      </c>
      <c r="C965" s="185"/>
      <c r="D965" s="185"/>
      <c r="E965" s="185"/>
      <c r="F965" s="185"/>
      <c r="G965" s="185"/>
      <c r="H965" s="185"/>
    </row>
    <row r="966" spans="1:10" ht="24" customHeight="1" x14ac:dyDescent="0.15">
      <c r="A966" s="189" t="s">
        <v>577</v>
      </c>
      <c r="B966" s="372">
        <f ca="1">調査票!N793</f>
        <v>0</v>
      </c>
      <c r="C966" s="185"/>
      <c r="D966" s="185"/>
      <c r="E966" s="185"/>
      <c r="F966" s="185"/>
      <c r="G966" s="185"/>
      <c r="H966" s="185"/>
    </row>
    <row r="967" spans="1:10" ht="24" customHeight="1" x14ac:dyDescent="0.15">
      <c r="A967" s="189" t="s">
        <v>578</v>
      </c>
      <c r="B967" s="372">
        <f ca="1">調査票!N794</f>
        <v>0</v>
      </c>
      <c r="C967" s="185"/>
      <c r="D967" s="185"/>
      <c r="E967" s="185"/>
      <c r="F967" s="185"/>
      <c r="G967" s="185"/>
      <c r="H967" s="185"/>
      <c r="I967" s="185"/>
    </row>
    <row r="968" spans="1:10" ht="24" customHeight="1" x14ac:dyDescent="0.15">
      <c r="A968" s="189" t="s">
        <v>579</v>
      </c>
      <c r="B968" s="372">
        <f ca="1">調査票!N795</f>
        <v>0</v>
      </c>
      <c r="C968" s="185"/>
      <c r="D968" s="185"/>
      <c r="E968" s="185"/>
      <c r="F968" s="185"/>
      <c r="G968" s="185"/>
      <c r="H968" s="185"/>
      <c r="I968" s="185"/>
      <c r="J968" s="185"/>
    </row>
    <row r="969" spans="1:10" ht="24" customHeight="1" x14ac:dyDescent="0.15">
      <c r="A969" s="189" t="s">
        <v>580</v>
      </c>
      <c r="B969" s="372">
        <f ca="1">調査票!N796</f>
        <v>0</v>
      </c>
      <c r="C969" s="185"/>
      <c r="D969" s="185"/>
      <c r="E969" s="185"/>
      <c r="F969" s="185"/>
      <c r="G969" s="185"/>
      <c r="H969" s="185"/>
      <c r="I969" s="185"/>
      <c r="J969" s="185"/>
    </row>
    <row r="970" spans="1:10" ht="24" customHeight="1" x14ac:dyDescent="0.15">
      <c r="A970" s="189" t="s">
        <v>581</v>
      </c>
      <c r="B970" s="372">
        <f ca="1">調査票!N797</f>
        <v>0</v>
      </c>
      <c r="C970" s="185"/>
      <c r="D970" s="185"/>
      <c r="E970" s="185"/>
      <c r="F970" s="185"/>
      <c r="G970" s="185"/>
      <c r="H970" s="185"/>
      <c r="I970" s="185"/>
      <c r="J970" s="185"/>
    </row>
    <row r="971" spans="1:10" ht="24" customHeight="1" x14ac:dyDescent="0.15">
      <c r="A971" s="189" t="s">
        <v>582</v>
      </c>
      <c r="B971" s="372">
        <f ca="1">調査票!N798</f>
        <v>0</v>
      </c>
      <c r="C971" s="185"/>
      <c r="D971" s="185"/>
      <c r="E971" s="185"/>
    </row>
    <row r="972" spans="1:10" ht="24" customHeight="1" x14ac:dyDescent="0.15">
      <c r="A972" s="189" t="s">
        <v>583</v>
      </c>
      <c r="B972" s="372">
        <f ca="1">調査票!N799</f>
        <v>0</v>
      </c>
      <c r="C972" s="185"/>
      <c r="D972" s="185"/>
      <c r="E972" s="185"/>
    </row>
    <row r="973" spans="1:10" ht="24" customHeight="1" x14ac:dyDescent="0.15">
      <c r="A973" s="189" t="s">
        <v>584</v>
      </c>
      <c r="B973" s="372">
        <f ca="1">調査票!N800</f>
        <v>0</v>
      </c>
      <c r="C973" s="185"/>
      <c r="D973" s="185"/>
      <c r="E973" s="185"/>
    </row>
    <row r="974" spans="1:10" ht="24" customHeight="1" x14ac:dyDescent="0.15">
      <c r="A974" s="189" t="s">
        <v>585</v>
      </c>
      <c r="B974" s="372">
        <f ca="1">調査票!N801</f>
        <v>0</v>
      </c>
      <c r="C974" s="185"/>
      <c r="D974" s="185"/>
      <c r="E974" s="185"/>
    </row>
    <row r="975" spans="1:10" ht="24" customHeight="1" x14ac:dyDescent="0.15">
      <c r="A975" s="189" t="s">
        <v>586</v>
      </c>
      <c r="B975" s="372">
        <f ca="1">調査票!N802</f>
        <v>0</v>
      </c>
      <c r="C975" s="185"/>
      <c r="D975" s="185"/>
      <c r="E975" s="185"/>
    </row>
    <row r="976" spans="1:10" ht="24" customHeight="1" x14ac:dyDescent="0.15">
      <c r="A976" s="189" t="s">
        <v>587</v>
      </c>
      <c r="B976" s="372">
        <f ca="1">調査票!N803</f>
        <v>0</v>
      </c>
      <c r="C976" s="185"/>
      <c r="D976" s="185"/>
      <c r="E976" s="185"/>
    </row>
    <row r="977" spans="1:5" ht="24" customHeight="1" x14ac:dyDescent="0.15">
      <c r="A977" s="189" t="s">
        <v>588</v>
      </c>
      <c r="B977" s="372">
        <f ca="1">調査票!N804</f>
        <v>0</v>
      </c>
      <c r="C977" s="185"/>
      <c r="D977" s="185"/>
      <c r="E977" s="185"/>
    </row>
    <row r="978" spans="1:5" ht="24" customHeight="1" x14ac:dyDescent="0.15">
      <c r="A978" s="189" t="s">
        <v>589</v>
      </c>
      <c r="B978" s="372">
        <f ca="1">調査票!N805</f>
        <v>0</v>
      </c>
      <c r="C978" s="185"/>
      <c r="D978" s="185"/>
      <c r="E978" s="185"/>
    </row>
    <row r="979" spans="1:5" ht="24" customHeight="1" x14ac:dyDescent="0.15">
      <c r="A979" s="189" t="s">
        <v>590</v>
      </c>
      <c r="B979" s="372">
        <f ca="1">調査票!N806</f>
        <v>0</v>
      </c>
      <c r="C979" s="185"/>
      <c r="D979" s="185"/>
      <c r="E979" s="185"/>
    </row>
    <row r="980" spans="1:5" ht="24" customHeight="1" x14ac:dyDescent="0.15">
      <c r="A980" s="175" t="s">
        <v>1621</v>
      </c>
      <c r="B980" s="373">
        <f>加算の取得状況!Q7</f>
        <v>0</v>
      </c>
      <c r="D980" s="22" t="s">
        <v>1928</v>
      </c>
    </row>
    <row r="981" spans="1:5" ht="24" customHeight="1" x14ac:dyDescent="0.15">
      <c r="A981" s="176" t="s">
        <v>1622</v>
      </c>
      <c r="B981" s="373">
        <f>加算の取得状況!Q8</f>
        <v>0</v>
      </c>
      <c r="D981" s="22" t="s">
        <v>1928</v>
      </c>
    </row>
    <row r="982" spans="1:5" ht="24" customHeight="1" x14ac:dyDescent="0.15">
      <c r="A982" s="176" t="s">
        <v>1623</v>
      </c>
      <c r="B982" s="373">
        <f>加算の取得状況!Q9</f>
        <v>0</v>
      </c>
      <c r="D982" s="22" t="s">
        <v>1928</v>
      </c>
    </row>
    <row r="983" spans="1:5" ht="24" customHeight="1" x14ac:dyDescent="0.15">
      <c r="A983" s="176" t="s">
        <v>1624</v>
      </c>
      <c r="B983" s="373">
        <f>加算の取得状況!Q10</f>
        <v>0</v>
      </c>
      <c r="D983" s="22" t="s">
        <v>1928</v>
      </c>
    </row>
    <row r="984" spans="1:5" ht="24" customHeight="1" x14ac:dyDescent="0.15">
      <c r="A984" s="176" t="s">
        <v>1625</v>
      </c>
      <c r="B984" s="373">
        <f>加算の取得状況!Q11</f>
        <v>0</v>
      </c>
      <c r="D984" s="22" t="s">
        <v>1928</v>
      </c>
    </row>
    <row r="985" spans="1:5" ht="24" customHeight="1" x14ac:dyDescent="0.15">
      <c r="A985" s="176" t="s">
        <v>1626</v>
      </c>
      <c r="B985" s="373">
        <f>加算の取得状況!Q12</f>
        <v>0</v>
      </c>
      <c r="D985" s="22" t="s">
        <v>1928</v>
      </c>
    </row>
    <row r="986" spans="1:5" ht="24" customHeight="1" x14ac:dyDescent="0.15">
      <c r="A986" s="176" t="s">
        <v>1627</v>
      </c>
      <c r="B986" s="373">
        <f>加算の取得状況!Q13</f>
        <v>0</v>
      </c>
      <c r="D986" s="22" t="s">
        <v>1928</v>
      </c>
    </row>
    <row r="987" spans="1:5" ht="24" customHeight="1" x14ac:dyDescent="0.15">
      <c r="A987" s="176" t="s">
        <v>1647</v>
      </c>
      <c r="B987" s="373">
        <f>加算の取得状況!Q14</f>
        <v>0</v>
      </c>
      <c r="D987" s="22" t="s">
        <v>1928</v>
      </c>
    </row>
    <row r="988" spans="1:5" ht="24" customHeight="1" x14ac:dyDescent="0.15">
      <c r="A988" s="176" t="s">
        <v>1648</v>
      </c>
      <c r="B988" s="373">
        <f>加算の取得状況!Q15</f>
        <v>0</v>
      </c>
      <c r="D988" s="22" t="s">
        <v>1928</v>
      </c>
    </row>
    <row r="989" spans="1:5" ht="24" customHeight="1" x14ac:dyDescent="0.15">
      <c r="A989" s="176" t="s">
        <v>1649</v>
      </c>
      <c r="B989" s="373">
        <f>加算の取得状況!Q16</f>
        <v>0</v>
      </c>
      <c r="D989" s="22" t="s">
        <v>1928</v>
      </c>
    </row>
    <row r="990" spans="1:5" ht="24" customHeight="1" x14ac:dyDescent="0.15">
      <c r="A990" s="176" t="s">
        <v>1650</v>
      </c>
      <c r="B990" s="373">
        <f>加算の取得状況!Q17</f>
        <v>0</v>
      </c>
      <c r="D990" s="22" t="s">
        <v>1928</v>
      </c>
    </row>
    <row r="991" spans="1:5" ht="24" customHeight="1" x14ac:dyDescent="0.15">
      <c r="A991" s="176" t="s">
        <v>1628</v>
      </c>
      <c r="B991" s="373">
        <f>加算の取得状況!Q18</f>
        <v>0</v>
      </c>
      <c r="D991" s="22" t="s">
        <v>1928</v>
      </c>
    </row>
    <row r="992" spans="1:5" ht="24" customHeight="1" x14ac:dyDescent="0.15">
      <c r="A992" s="176" t="s">
        <v>1629</v>
      </c>
      <c r="B992" s="373">
        <f>加算の取得状況!Q19</f>
        <v>0</v>
      </c>
      <c r="D992" s="22" t="s">
        <v>1928</v>
      </c>
    </row>
    <row r="993" spans="1:4" ht="24" customHeight="1" x14ac:dyDescent="0.15">
      <c r="A993" s="176" t="s">
        <v>1630</v>
      </c>
      <c r="B993" s="373">
        <f>加算の取得状況!Q20</f>
        <v>0</v>
      </c>
      <c r="D993" s="22" t="s">
        <v>1928</v>
      </c>
    </row>
    <row r="994" spans="1:4" ht="24" customHeight="1" x14ac:dyDescent="0.15">
      <c r="A994" s="176" t="s">
        <v>1631</v>
      </c>
      <c r="B994" s="373">
        <f>加算の取得状況!Q21</f>
        <v>0</v>
      </c>
      <c r="D994" s="22" t="s">
        <v>1928</v>
      </c>
    </row>
    <row r="995" spans="1:4" ht="24" customHeight="1" x14ac:dyDescent="0.15">
      <c r="A995" s="176" t="s">
        <v>1651</v>
      </c>
      <c r="B995" s="373">
        <f>加算の取得状況!Q22</f>
        <v>0</v>
      </c>
      <c r="D995" s="22" t="s">
        <v>1928</v>
      </c>
    </row>
    <row r="996" spans="1:4" ht="24" customHeight="1" x14ac:dyDescent="0.15">
      <c r="A996" s="176" t="s">
        <v>1632</v>
      </c>
      <c r="B996" s="373">
        <f>加算の取得状況!Q23</f>
        <v>0</v>
      </c>
      <c r="D996" s="22" t="s">
        <v>1928</v>
      </c>
    </row>
    <row r="997" spans="1:4" ht="24" customHeight="1" x14ac:dyDescent="0.15">
      <c r="A997" s="176" t="s">
        <v>1658</v>
      </c>
      <c r="B997" s="373">
        <f>加算の取得状況!Q24</f>
        <v>0</v>
      </c>
      <c r="D997" s="22" t="s">
        <v>1928</v>
      </c>
    </row>
    <row r="998" spans="1:4" ht="24" customHeight="1" x14ac:dyDescent="0.15">
      <c r="A998" s="176" t="s">
        <v>1659</v>
      </c>
      <c r="B998" s="373">
        <f>加算の取得状況!Q25</f>
        <v>0</v>
      </c>
      <c r="D998" s="22" t="s">
        <v>1928</v>
      </c>
    </row>
    <row r="999" spans="1:4" ht="24" customHeight="1" x14ac:dyDescent="0.15">
      <c r="A999" s="176" t="s">
        <v>1652</v>
      </c>
      <c r="B999" s="373">
        <f>加算の取得状況!Q26</f>
        <v>0</v>
      </c>
      <c r="D999" s="22" t="s">
        <v>1928</v>
      </c>
    </row>
    <row r="1000" spans="1:4" ht="24" customHeight="1" x14ac:dyDescent="0.15">
      <c r="A1000" s="176" t="s">
        <v>1653</v>
      </c>
      <c r="B1000" s="373">
        <f>加算の取得状況!Q27</f>
        <v>0</v>
      </c>
      <c r="D1000" s="22" t="s">
        <v>1928</v>
      </c>
    </row>
    <row r="1001" spans="1:4" ht="24" customHeight="1" x14ac:dyDescent="0.15">
      <c r="A1001" s="176" t="s">
        <v>1654</v>
      </c>
      <c r="B1001" s="373">
        <f>加算の取得状況!Q28</f>
        <v>0</v>
      </c>
      <c r="D1001" s="22" t="s">
        <v>1928</v>
      </c>
    </row>
    <row r="1002" spans="1:4" ht="24" customHeight="1" x14ac:dyDescent="0.15">
      <c r="A1002" s="176" t="s">
        <v>1655</v>
      </c>
      <c r="B1002" s="373">
        <f>加算の取得状況!Q29</f>
        <v>0</v>
      </c>
      <c r="D1002" s="22" t="s">
        <v>1928</v>
      </c>
    </row>
    <row r="1003" spans="1:4" ht="24" customHeight="1" x14ac:dyDescent="0.15">
      <c r="A1003" s="176" t="s">
        <v>1633</v>
      </c>
      <c r="B1003" s="373">
        <f>加算の取得状況!Q30</f>
        <v>0</v>
      </c>
      <c r="D1003" s="22" t="s">
        <v>1928</v>
      </c>
    </row>
    <row r="1004" spans="1:4" ht="24" customHeight="1" x14ac:dyDescent="0.15">
      <c r="A1004" s="176" t="s">
        <v>1634</v>
      </c>
      <c r="B1004" s="373">
        <f>加算の取得状況!Q31</f>
        <v>0</v>
      </c>
      <c r="D1004" s="22" t="s">
        <v>1928</v>
      </c>
    </row>
    <row r="1005" spans="1:4" ht="24" customHeight="1" x14ac:dyDescent="0.15">
      <c r="A1005" s="176" t="s">
        <v>1635</v>
      </c>
      <c r="B1005" s="373">
        <f>加算の取得状況!Q32</f>
        <v>0</v>
      </c>
      <c r="D1005" s="22" t="s">
        <v>1928</v>
      </c>
    </row>
    <row r="1006" spans="1:4" ht="24" customHeight="1" x14ac:dyDescent="0.15">
      <c r="A1006" s="176" t="s">
        <v>1636</v>
      </c>
      <c r="B1006" s="373">
        <f>加算の取得状況!Q33</f>
        <v>0</v>
      </c>
      <c r="D1006" s="22" t="s">
        <v>1928</v>
      </c>
    </row>
    <row r="1007" spans="1:4" ht="24" customHeight="1" x14ac:dyDescent="0.15">
      <c r="A1007" s="176" t="s">
        <v>1656</v>
      </c>
      <c r="B1007" s="373">
        <f>加算の取得状況!Q34</f>
        <v>0</v>
      </c>
      <c r="D1007" s="22" t="s">
        <v>1928</v>
      </c>
    </row>
    <row r="1008" spans="1:4" ht="24" customHeight="1" x14ac:dyDescent="0.15">
      <c r="A1008" s="176" t="s">
        <v>1637</v>
      </c>
      <c r="B1008" s="373">
        <f>加算の取得状況!Q35</f>
        <v>0</v>
      </c>
      <c r="D1008" s="22" t="s">
        <v>1928</v>
      </c>
    </row>
    <row r="1009" spans="1:4" ht="24" customHeight="1" x14ac:dyDescent="0.15">
      <c r="A1009" s="176" t="s">
        <v>1638</v>
      </c>
      <c r="B1009" s="373">
        <f>加算の取得状況!Q36</f>
        <v>0</v>
      </c>
      <c r="D1009" s="22" t="s">
        <v>1928</v>
      </c>
    </row>
    <row r="1010" spans="1:4" x14ac:dyDescent="0.15">
      <c r="A1010" s="176" t="s">
        <v>1657</v>
      </c>
      <c r="B1010" s="373">
        <f>加算の取得状況!Q37</f>
        <v>0</v>
      </c>
      <c r="D1010" s="22" t="s">
        <v>1928</v>
      </c>
    </row>
    <row r="1011" spans="1:4" x14ac:dyDescent="0.15">
      <c r="A1011" s="176" t="s">
        <v>1639</v>
      </c>
      <c r="B1011" s="373">
        <f>加算の取得状況!Q38</f>
        <v>0</v>
      </c>
      <c r="D1011" s="22" t="s">
        <v>1928</v>
      </c>
    </row>
    <row r="1012" spans="1:4" x14ac:dyDescent="0.15">
      <c r="A1012" s="176" t="s">
        <v>1640</v>
      </c>
      <c r="B1012" s="373">
        <f>加算の取得状況!Q39</f>
        <v>0</v>
      </c>
      <c r="D1012" s="22" t="s">
        <v>1928</v>
      </c>
    </row>
    <row r="1013" spans="1:4" x14ac:dyDescent="0.15">
      <c r="A1013" s="176" t="s">
        <v>1641</v>
      </c>
      <c r="B1013" s="373">
        <f>加算の取得状況!Q40</f>
        <v>0</v>
      </c>
      <c r="D1013" s="22" t="s">
        <v>1928</v>
      </c>
    </row>
    <row r="1014" spans="1:4" x14ac:dyDescent="0.15">
      <c r="A1014" s="176" t="s">
        <v>1642</v>
      </c>
      <c r="B1014" s="373">
        <f>加算の取得状況!Q41</f>
        <v>0</v>
      </c>
      <c r="D1014" s="22" t="s">
        <v>1928</v>
      </c>
    </row>
    <row r="1015" spans="1:4" x14ac:dyDescent="0.15">
      <c r="A1015" s="176" t="s">
        <v>1643</v>
      </c>
      <c r="B1015" s="373">
        <f>加算の取得状況!Q42</f>
        <v>0</v>
      </c>
      <c r="D1015" s="22" t="s">
        <v>1928</v>
      </c>
    </row>
    <row r="1016" spans="1:4" x14ac:dyDescent="0.15">
      <c r="A1016" s="176" t="s">
        <v>1644</v>
      </c>
      <c r="B1016" s="373">
        <f>加算の取得状況!Q43</f>
        <v>0</v>
      </c>
      <c r="D1016" s="22" t="s">
        <v>1928</v>
      </c>
    </row>
    <row r="1017" spans="1:4" x14ac:dyDescent="0.15">
      <c r="A1017" s="176" t="s">
        <v>1645</v>
      </c>
      <c r="B1017" s="373">
        <f>加算の取得状況!Q44</f>
        <v>0</v>
      </c>
      <c r="D1017" s="22" t="s">
        <v>1928</v>
      </c>
    </row>
    <row r="1018" spans="1:4" x14ac:dyDescent="0.15">
      <c r="A1018" s="176" t="s">
        <v>1646</v>
      </c>
      <c r="B1018" s="373">
        <f>加算の取得状況!Q45</f>
        <v>0</v>
      </c>
      <c r="D1018" s="22" t="s">
        <v>1928</v>
      </c>
    </row>
    <row r="1019" spans="1:4" x14ac:dyDescent="0.15">
      <c r="A1019" s="22"/>
    </row>
  </sheetData>
  <phoneticPr fontId="2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FFFF00"/>
  </sheetPr>
  <dimension ref="A1:R208"/>
  <sheetViews>
    <sheetView view="pageBreakPreview" zoomScale="96" zoomScaleNormal="100" zoomScaleSheetLayoutView="96" workbookViewId="0">
      <selection activeCell="H214" sqref="H214"/>
    </sheetView>
  </sheetViews>
  <sheetFormatPr defaultColWidth="9.125" defaultRowHeight="13.5" x14ac:dyDescent="0.15"/>
  <cols>
    <col min="1" max="1" width="4.625" style="533" customWidth="1"/>
    <col min="2" max="2" width="4.5" style="534" bestFit="1" customWidth="1"/>
    <col min="3" max="3" width="15.625" style="534" customWidth="1"/>
    <col min="4" max="5" width="8.625" style="533" customWidth="1"/>
    <col min="6" max="6" width="15.625" style="533" customWidth="1"/>
    <col min="7" max="7" width="8.625" style="533" customWidth="1"/>
    <col min="8" max="9" width="15.625" style="533" customWidth="1"/>
    <col min="10" max="11" width="12.625" style="533" customWidth="1"/>
    <col min="12" max="17" width="4.625" style="533" customWidth="1"/>
    <col min="18" max="18" width="19.75" style="533" customWidth="1"/>
    <col min="19" max="19" width="4.625" style="533" customWidth="1"/>
    <col min="20" max="16384" width="9.125" style="533"/>
  </cols>
  <sheetData>
    <row r="1" spans="1:18" ht="14.25" thickBot="1" x14ac:dyDescent="0.2"/>
    <row r="2" spans="1:18" s="54" customFormat="1" ht="27" customHeight="1" thickTop="1" thickBot="1" x14ac:dyDescent="0.2">
      <c r="A2" s="1718" t="s">
        <v>1771</v>
      </c>
      <c r="B2" s="1719"/>
      <c r="C2" s="1719"/>
      <c r="D2" s="1719"/>
      <c r="E2" s="1719"/>
      <c r="F2" s="1720"/>
      <c r="G2" s="85" t="s">
        <v>1951</v>
      </c>
      <c r="I2" s="55"/>
      <c r="J2" s="55"/>
      <c r="K2" s="55"/>
    </row>
    <row r="3" spans="1:18" ht="5.0999999999999996" customHeight="1" thickTop="1" thickBot="1" x14ac:dyDescent="0.2"/>
    <row r="4" spans="1:18" s="54" customFormat="1" ht="27" customHeight="1" thickTop="1" thickBot="1" x14ac:dyDescent="0.2">
      <c r="A4" s="1157" t="s">
        <v>1469</v>
      </c>
      <c r="B4" s="1158"/>
      <c r="C4" s="1158"/>
      <c r="D4" s="1158"/>
      <c r="E4" s="1158"/>
      <c r="F4" s="1159"/>
      <c r="G4" s="91" t="s">
        <v>1952</v>
      </c>
      <c r="I4" s="55"/>
      <c r="J4" s="55"/>
      <c r="K4" s="55"/>
      <c r="L4" s="55"/>
      <c r="M4" s="55"/>
    </row>
    <row r="5" spans="1:18" s="241" customFormat="1" ht="22.35" customHeight="1" thickTop="1" x14ac:dyDescent="0.15">
      <c r="A5" s="363" t="s">
        <v>1512</v>
      </c>
      <c r="B5" s="1721" t="s">
        <v>1750</v>
      </c>
      <c r="C5" s="1721"/>
      <c r="D5" s="1721"/>
      <c r="E5" s="1721"/>
      <c r="F5" s="1721"/>
      <c r="G5" s="1721"/>
      <c r="H5" s="1721"/>
      <c r="I5" s="1721"/>
      <c r="J5" s="1721"/>
      <c r="K5" s="1721"/>
      <c r="L5" s="364"/>
      <c r="M5" s="364"/>
    </row>
    <row r="6" spans="1:18" s="241" customFormat="1" ht="30" customHeight="1" x14ac:dyDescent="0.15">
      <c r="A6" s="363" t="s">
        <v>1512</v>
      </c>
      <c r="B6" s="1722" t="s">
        <v>1751</v>
      </c>
      <c r="C6" s="1722"/>
      <c r="D6" s="1722"/>
      <c r="E6" s="1722"/>
      <c r="F6" s="1722"/>
      <c r="G6" s="1722"/>
      <c r="H6" s="1722"/>
      <c r="I6" s="1722"/>
      <c r="J6" s="1722"/>
      <c r="K6" s="1722"/>
      <c r="L6" s="364"/>
      <c r="M6" s="364"/>
    </row>
    <row r="7" spans="1:18" s="54" customFormat="1" ht="15" customHeight="1" x14ac:dyDescent="0.15">
      <c r="A7" s="444"/>
      <c r="B7" s="444"/>
      <c r="C7" s="444"/>
      <c r="D7" s="444"/>
      <c r="E7" s="444"/>
      <c r="I7" s="55"/>
      <c r="J7" s="424" t="s">
        <v>1501</v>
      </c>
      <c r="K7" s="355">
        <v>43555</v>
      </c>
      <c r="L7" s="55"/>
      <c r="M7" s="55"/>
      <c r="N7" s="55"/>
    </row>
    <row r="8" spans="1:18" ht="40.5" x14ac:dyDescent="0.15">
      <c r="B8" s="535" t="s">
        <v>1357</v>
      </c>
      <c r="C8" s="535" t="s">
        <v>1672</v>
      </c>
      <c r="D8" s="536" t="s">
        <v>1502</v>
      </c>
      <c r="E8" s="536" t="s">
        <v>1503</v>
      </c>
      <c r="F8" s="536" t="s">
        <v>1504</v>
      </c>
      <c r="G8" s="537" t="s">
        <v>1500</v>
      </c>
      <c r="H8" s="538" t="s">
        <v>1505</v>
      </c>
      <c r="I8" s="536" t="s">
        <v>1506</v>
      </c>
      <c r="J8" s="539" t="s">
        <v>1507</v>
      </c>
      <c r="K8" s="540" t="s">
        <v>1508</v>
      </c>
      <c r="R8" s="541"/>
    </row>
    <row r="9" spans="1:18" x14ac:dyDescent="0.15">
      <c r="B9" s="542">
        <v>1</v>
      </c>
      <c r="C9" s="375"/>
      <c r="D9" s="356"/>
      <c r="E9" s="356"/>
      <c r="F9" s="359"/>
      <c r="G9" s="543" t="str">
        <f>IF(F9="","",DATEDIF(F9,$K$7,"Y"))</f>
        <v/>
      </c>
      <c r="H9" s="360"/>
      <c r="I9" s="359"/>
      <c r="J9" s="544" t="str">
        <f>IF($H9="","",IF($I9="",DATEDIF($H9,$K$7,"m"),DATEDIF($H9,$I9,"M")))</f>
        <v/>
      </c>
      <c r="K9" s="544" t="str">
        <f>IF($H9="","",IF($I9="",DATEDIF($H9,$K$7,"Y"),DATEDIF($H9,$I9,"Y")))</f>
        <v/>
      </c>
      <c r="L9" s="534"/>
      <c r="R9" s="541"/>
    </row>
    <row r="10" spans="1:18" x14ac:dyDescent="0.15">
      <c r="B10" s="542">
        <v>2</v>
      </c>
      <c r="C10" s="375"/>
      <c r="D10" s="356"/>
      <c r="E10" s="356"/>
      <c r="F10" s="359"/>
      <c r="G10" s="543" t="str">
        <f t="shared" ref="G10:G73" si="0">IF(F10="","",DATEDIF(F10,$K$7,"Y"))</f>
        <v/>
      </c>
      <c r="H10" s="360"/>
      <c r="I10" s="357"/>
      <c r="J10" s="544" t="str">
        <f t="shared" ref="J10:J73" si="1">IF($H10="","",IF($I10="",DATEDIF($H10,$K$7,"m"),DATEDIF($H10,$I10,"M")))</f>
        <v/>
      </c>
      <c r="K10" s="544" t="str">
        <f>IF($H10="","",IF($I10="",DATEDIF($H10,$K$7,"Y"),DATEDIF($H10,$I10,"Y")))</f>
        <v/>
      </c>
      <c r="L10" s="534"/>
    </row>
    <row r="11" spans="1:18" x14ac:dyDescent="0.15">
      <c r="B11" s="542">
        <v>3</v>
      </c>
      <c r="C11" s="375"/>
      <c r="D11" s="356"/>
      <c r="E11" s="356"/>
      <c r="F11" s="374"/>
      <c r="G11" s="543" t="str">
        <f t="shared" si="0"/>
        <v/>
      </c>
      <c r="H11" s="360"/>
      <c r="I11" s="357"/>
      <c r="J11" s="544" t="str">
        <f t="shared" si="1"/>
        <v/>
      </c>
      <c r="K11" s="544" t="str">
        <f t="shared" ref="K11:K73" si="2">IF($H11="","",IF($I11="",DATEDIF($H11,$K$7,"Y"),DATEDIF($H11,$I11,"Y")))</f>
        <v/>
      </c>
      <c r="L11" s="534"/>
    </row>
    <row r="12" spans="1:18" x14ac:dyDescent="0.15">
      <c r="B12" s="542">
        <v>4</v>
      </c>
      <c r="C12" s="375"/>
      <c r="D12" s="356"/>
      <c r="E12" s="356"/>
      <c r="F12" s="374"/>
      <c r="G12" s="543" t="str">
        <f t="shared" si="0"/>
        <v/>
      </c>
      <c r="H12" s="362"/>
      <c r="I12" s="357"/>
      <c r="J12" s="544" t="str">
        <f t="shared" si="1"/>
        <v/>
      </c>
      <c r="K12" s="544" t="str">
        <f t="shared" si="2"/>
        <v/>
      </c>
      <c r="L12" s="534"/>
    </row>
    <row r="13" spans="1:18" x14ac:dyDescent="0.15">
      <c r="B13" s="542">
        <v>5</v>
      </c>
      <c r="C13" s="375"/>
      <c r="D13" s="356"/>
      <c r="E13" s="356"/>
      <c r="F13" s="374"/>
      <c r="G13" s="543" t="str">
        <f t="shared" si="0"/>
        <v/>
      </c>
      <c r="H13" s="361"/>
      <c r="I13" s="358"/>
      <c r="J13" s="544" t="str">
        <f t="shared" si="1"/>
        <v/>
      </c>
      <c r="K13" s="544" t="str">
        <f t="shared" si="2"/>
        <v/>
      </c>
      <c r="L13" s="534"/>
    </row>
    <row r="14" spans="1:18" x14ac:dyDescent="0.15">
      <c r="B14" s="542">
        <v>6</v>
      </c>
      <c r="C14" s="375"/>
      <c r="D14" s="356"/>
      <c r="E14" s="356"/>
      <c r="F14" s="374"/>
      <c r="G14" s="543" t="str">
        <f t="shared" si="0"/>
        <v/>
      </c>
      <c r="H14" s="361"/>
      <c r="I14" s="358"/>
      <c r="J14" s="544" t="str">
        <f t="shared" si="1"/>
        <v/>
      </c>
      <c r="K14" s="544" t="str">
        <f t="shared" si="2"/>
        <v/>
      </c>
      <c r="L14" s="534"/>
    </row>
    <row r="15" spans="1:18" x14ac:dyDescent="0.15">
      <c r="B15" s="542">
        <v>7</v>
      </c>
      <c r="C15" s="375"/>
      <c r="D15" s="358"/>
      <c r="E15" s="358"/>
      <c r="F15" s="359"/>
      <c r="G15" s="543" t="str">
        <f t="shared" si="0"/>
        <v/>
      </c>
      <c r="H15" s="361"/>
      <c r="I15" s="358"/>
      <c r="J15" s="544" t="str">
        <f t="shared" si="1"/>
        <v/>
      </c>
      <c r="K15" s="544" t="str">
        <f t="shared" si="2"/>
        <v/>
      </c>
      <c r="L15" s="534"/>
    </row>
    <row r="16" spans="1:18" x14ac:dyDescent="0.15">
      <c r="B16" s="542">
        <v>8</v>
      </c>
      <c r="C16" s="375"/>
      <c r="D16" s="358"/>
      <c r="E16" s="358"/>
      <c r="F16" s="359"/>
      <c r="G16" s="543" t="str">
        <f t="shared" si="0"/>
        <v/>
      </c>
      <c r="H16" s="361"/>
      <c r="I16" s="358"/>
      <c r="J16" s="544" t="str">
        <f t="shared" si="1"/>
        <v/>
      </c>
      <c r="K16" s="544" t="str">
        <f t="shared" si="2"/>
        <v/>
      </c>
      <c r="L16" s="534"/>
    </row>
    <row r="17" spans="2:12" x14ac:dyDescent="0.15">
      <c r="B17" s="542">
        <v>9</v>
      </c>
      <c r="C17" s="375"/>
      <c r="D17" s="358"/>
      <c r="E17" s="358"/>
      <c r="F17" s="359"/>
      <c r="G17" s="543" t="str">
        <f t="shared" si="0"/>
        <v/>
      </c>
      <c r="H17" s="361"/>
      <c r="I17" s="358"/>
      <c r="J17" s="544" t="str">
        <f t="shared" si="1"/>
        <v/>
      </c>
      <c r="K17" s="544" t="str">
        <f t="shared" si="2"/>
        <v/>
      </c>
      <c r="L17" s="534"/>
    </row>
    <row r="18" spans="2:12" x14ac:dyDescent="0.15">
      <c r="B18" s="542">
        <v>10</v>
      </c>
      <c r="C18" s="375"/>
      <c r="D18" s="358"/>
      <c r="E18" s="358"/>
      <c r="F18" s="359"/>
      <c r="G18" s="543" t="str">
        <f t="shared" si="0"/>
        <v/>
      </c>
      <c r="H18" s="361"/>
      <c r="I18" s="358"/>
      <c r="J18" s="544" t="str">
        <f t="shared" si="1"/>
        <v/>
      </c>
      <c r="K18" s="544" t="str">
        <f t="shared" si="2"/>
        <v/>
      </c>
      <c r="L18" s="534"/>
    </row>
    <row r="19" spans="2:12" x14ac:dyDescent="0.15">
      <c r="B19" s="542">
        <v>11</v>
      </c>
      <c r="C19" s="375"/>
      <c r="D19" s="358"/>
      <c r="E19" s="358"/>
      <c r="F19" s="359"/>
      <c r="G19" s="543" t="str">
        <f t="shared" si="0"/>
        <v/>
      </c>
      <c r="H19" s="361"/>
      <c r="I19" s="358"/>
      <c r="J19" s="544" t="str">
        <f t="shared" si="1"/>
        <v/>
      </c>
      <c r="K19" s="544" t="str">
        <f t="shared" si="2"/>
        <v/>
      </c>
      <c r="L19" s="534"/>
    </row>
    <row r="20" spans="2:12" x14ac:dyDescent="0.15">
      <c r="B20" s="542">
        <v>12</v>
      </c>
      <c r="C20" s="375"/>
      <c r="D20" s="358"/>
      <c r="E20" s="358"/>
      <c r="F20" s="359"/>
      <c r="G20" s="543" t="str">
        <f t="shared" si="0"/>
        <v/>
      </c>
      <c r="H20" s="361"/>
      <c r="I20" s="358"/>
      <c r="J20" s="544" t="str">
        <f t="shared" si="1"/>
        <v/>
      </c>
      <c r="K20" s="544" t="str">
        <f t="shared" si="2"/>
        <v/>
      </c>
      <c r="L20" s="534"/>
    </row>
    <row r="21" spans="2:12" x14ac:dyDescent="0.15">
      <c r="B21" s="542">
        <v>13</v>
      </c>
      <c r="C21" s="375"/>
      <c r="D21" s="358"/>
      <c r="E21" s="358"/>
      <c r="F21" s="359"/>
      <c r="G21" s="543" t="str">
        <f t="shared" si="0"/>
        <v/>
      </c>
      <c r="H21" s="361"/>
      <c r="I21" s="358"/>
      <c r="J21" s="544" t="str">
        <f t="shared" si="1"/>
        <v/>
      </c>
      <c r="K21" s="544" t="str">
        <f t="shared" si="2"/>
        <v/>
      </c>
      <c r="L21" s="534"/>
    </row>
    <row r="22" spans="2:12" x14ac:dyDescent="0.15">
      <c r="B22" s="542">
        <v>14</v>
      </c>
      <c r="C22" s="375"/>
      <c r="D22" s="358"/>
      <c r="E22" s="358"/>
      <c r="F22" s="359"/>
      <c r="G22" s="543" t="str">
        <f t="shared" si="0"/>
        <v/>
      </c>
      <c r="H22" s="361"/>
      <c r="I22" s="358"/>
      <c r="J22" s="544" t="str">
        <f t="shared" si="1"/>
        <v/>
      </c>
      <c r="K22" s="544" t="str">
        <f t="shared" si="2"/>
        <v/>
      </c>
      <c r="L22" s="534"/>
    </row>
    <row r="23" spans="2:12" x14ac:dyDescent="0.15">
      <c r="B23" s="542">
        <v>15</v>
      </c>
      <c r="C23" s="375"/>
      <c r="D23" s="358"/>
      <c r="E23" s="358"/>
      <c r="F23" s="359"/>
      <c r="G23" s="543" t="str">
        <f t="shared" si="0"/>
        <v/>
      </c>
      <c r="H23" s="361"/>
      <c r="I23" s="358"/>
      <c r="J23" s="544" t="str">
        <f t="shared" si="1"/>
        <v/>
      </c>
      <c r="K23" s="544" t="str">
        <f t="shared" si="2"/>
        <v/>
      </c>
      <c r="L23" s="534"/>
    </row>
    <row r="24" spans="2:12" x14ac:dyDescent="0.15">
      <c r="B24" s="542">
        <v>16</v>
      </c>
      <c r="C24" s="375"/>
      <c r="D24" s="358"/>
      <c r="E24" s="358"/>
      <c r="F24" s="359"/>
      <c r="G24" s="543" t="str">
        <f t="shared" si="0"/>
        <v/>
      </c>
      <c r="H24" s="361"/>
      <c r="I24" s="358"/>
      <c r="J24" s="544" t="str">
        <f t="shared" si="1"/>
        <v/>
      </c>
      <c r="K24" s="544" t="str">
        <f t="shared" si="2"/>
        <v/>
      </c>
      <c r="L24" s="534"/>
    </row>
    <row r="25" spans="2:12" x14ac:dyDescent="0.15">
      <c r="B25" s="542">
        <v>17</v>
      </c>
      <c r="C25" s="375"/>
      <c r="D25" s="358"/>
      <c r="E25" s="358"/>
      <c r="F25" s="359"/>
      <c r="G25" s="543" t="str">
        <f t="shared" si="0"/>
        <v/>
      </c>
      <c r="H25" s="361"/>
      <c r="I25" s="358"/>
      <c r="J25" s="544" t="str">
        <f t="shared" si="1"/>
        <v/>
      </c>
      <c r="K25" s="544" t="str">
        <f t="shared" si="2"/>
        <v/>
      </c>
      <c r="L25" s="534"/>
    </row>
    <row r="26" spans="2:12" x14ac:dyDescent="0.15">
      <c r="B26" s="542">
        <v>18</v>
      </c>
      <c r="C26" s="375"/>
      <c r="D26" s="358"/>
      <c r="E26" s="358"/>
      <c r="F26" s="359"/>
      <c r="G26" s="543" t="str">
        <f t="shared" si="0"/>
        <v/>
      </c>
      <c r="H26" s="361"/>
      <c r="I26" s="358"/>
      <c r="J26" s="544" t="str">
        <f t="shared" si="1"/>
        <v/>
      </c>
      <c r="K26" s="544" t="str">
        <f t="shared" si="2"/>
        <v/>
      </c>
      <c r="L26" s="534"/>
    </row>
    <row r="27" spans="2:12" x14ac:dyDescent="0.15">
      <c r="B27" s="542">
        <v>19</v>
      </c>
      <c r="C27" s="375"/>
      <c r="D27" s="358"/>
      <c r="E27" s="358"/>
      <c r="F27" s="359"/>
      <c r="G27" s="543" t="str">
        <f t="shared" si="0"/>
        <v/>
      </c>
      <c r="H27" s="361"/>
      <c r="I27" s="358"/>
      <c r="J27" s="544" t="str">
        <f t="shared" si="1"/>
        <v/>
      </c>
      <c r="K27" s="544" t="str">
        <f t="shared" si="2"/>
        <v/>
      </c>
      <c r="L27" s="534"/>
    </row>
    <row r="28" spans="2:12" x14ac:dyDescent="0.15">
      <c r="B28" s="542">
        <v>20</v>
      </c>
      <c r="C28" s="375"/>
      <c r="D28" s="358"/>
      <c r="E28" s="358"/>
      <c r="F28" s="359"/>
      <c r="G28" s="543" t="str">
        <f t="shared" si="0"/>
        <v/>
      </c>
      <c r="H28" s="361"/>
      <c r="I28" s="358"/>
      <c r="J28" s="544" t="str">
        <f t="shared" si="1"/>
        <v/>
      </c>
      <c r="K28" s="544" t="str">
        <f t="shared" si="2"/>
        <v/>
      </c>
    </row>
    <row r="29" spans="2:12" x14ac:dyDescent="0.15">
      <c r="B29" s="542">
        <v>21</v>
      </c>
      <c r="C29" s="375"/>
      <c r="D29" s="358"/>
      <c r="E29" s="358"/>
      <c r="F29" s="359"/>
      <c r="G29" s="543" t="str">
        <f t="shared" si="0"/>
        <v/>
      </c>
      <c r="H29" s="361"/>
      <c r="I29" s="358"/>
      <c r="J29" s="544" t="str">
        <f t="shared" si="1"/>
        <v/>
      </c>
      <c r="K29" s="544" t="str">
        <f t="shared" si="2"/>
        <v/>
      </c>
    </row>
    <row r="30" spans="2:12" x14ac:dyDescent="0.15">
      <c r="B30" s="542">
        <v>22</v>
      </c>
      <c r="C30" s="375"/>
      <c r="D30" s="358"/>
      <c r="E30" s="358"/>
      <c r="F30" s="359"/>
      <c r="G30" s="543" t="str">
        <f t="shared" si="0"/>
        <v/>
      </c>
      <c r="H30" s="361"/>
      <c r="I30" s="358"/>
      <c r="J30" s="544" t="str">
        <f t="shared" si="1"/>
        <v/>
      </c>
      <c r="K30" s="544" t="str">
        <f t="shared" si="2"/>
        <v/>
      </c>
    </row>
    <row r="31" spans="2:12" x14ac:dyDescent="0.15">
      <c r="B31" s="542">
        <v>23</v>
      </c>
      <c r="C31" s="375"/>
      <c r="D31" s="358"/>
      <c r="E31" s="358"/>
      <c r="F31" s="359"/>
      <c r="G31" s="543" t="str">
        <f t="shared" si="0"/>
        <v/>
      </c>
      <c r="H31" s="361"/>
      <c r="I31" s="358"/>
      <c r="J31" s="544" t="str">
        <f t="shared" si="1"/>
        <v/>
      </c>
      <c r="K31" s="544" t="str">
        <f t="shared" si="2"/>
        <v/>
      </c>
    </row>
    <row r="32" spans="2:12" x14ac:dyDescent="0.15">
      <c r="B32" s="542">
        <v>24</v>
      </c>
      <c r="C32" s="375"/>
      <c r="D32" s="358"/>
      <c r="E32" s="358"/>
      <c r="F32" s="359"/>
      <c r="G32" s="543" t="str">
        <f t="shared" si="0"/>
        <v/>
      </c>
      <c r="H32" s="361"/>
      <c r="I32" s="358"/>
      <c r="J32" s="544" t="str">
        <f t="shared" si="1"/>
        <v/>
      </c>
      <c r="K32" s="544" t="str">
        <f t="shared" si="2"/>
        <v/>
      </c>
    </row>
    <row r="33" spans="2:11" x14ac:dyDescent="0.15">
      <c r="B33" s="542">
        <v>25</v>
      </c>
      <c r="C33" s="375"/>
      <c r="D33" s="358"/>
      <c r="E33" s="358"/>
      <c r="F33" s="359"/>
      <c r="G33" s="543" t="str">
        <f t="shared" si="0"/>
        <v/>
      </c>
      <c r="H33" s="361"/>
      <c r="I33" s="358"/>
      <c r="J33" s="544" t="str">
        <f t="shared" si="1"/>
        <v/>
      </c>
      <c r="K33" s="544" t="str">
        <f t="shared" si="2"/>
        <v/>
      </c>
    </row>
    <row r="34" spans="2:11" x14ac:dyDescent="0.15">
      <c r="B34" s="542">
        <v>26</v>
      </c>
      <c r="C34" s="375"/>
      <c r="D34" s="358"/>
      <c r="E34" s="358"/>
      <c r="F34" s="359"/>
      <c r="G34" s="543" t="str">
        <f t="shared" si="0"/>
        <v/>
      </c>
      <c r="H34" s="361"/>
      <c r="I34" s="358"/>
      <c r="J34" s="544" t="str">
        <f t="shared" si="1"/>
        <v/>
      </c>
      <c r="K34" s="544" t="str">
        <f t="shared" si="2"/>
        <v/>
      </c>
    </row>
    <row r="35" spans="2:11" x14ac:dyDescent="0.15">
      <c r="B35" s="542">
        <v>27</v>
      </c>
      <c r="C35" s="375"/>
      <c r="D35" s="358"/>
      <c r="E35" s="358"/>
      <c r="F35" s="359"/>
      <c r="G35" s="543" t="str">
        <f t="shared" si="0"/>
        <v/>
      </c>
      <c r="H35" s="361"/>
      <c r="I35" s="358"/>
      <c r="J35" s="544" t="str">
        <f t="shared" si="1"/>
        <v/>
      </c>
      <c r="K35" s="544" t="str">
        <f t="shared" si="2"/>
        <v/>
      </c>
    </row>
    <row r="36" spans="2:11" x14ac:dyDescent="0.15">
      <c r="B36" s="542">
        <v>28</v>
      </c>
      <c r="C36" s="375"/>
      <c r="D36" s="358"/>
      <c r="E36" s="358"/>
      <c r="F36" s="359"/>
      <c r="G36" s="543" t="str">
        <f t="shared" si="0"/>
        <v/>
      </c>
      <c r="H36" s="361"/>
      <c r="I36" s="358"/>
      <c r="J36" s="544" t="str">
        <f t="shared" si="1"/>
        <v/>
      </c>
      <c r="K36" s="544" t="str">
        <f t="shared" si="2"/>
        <v/>
      </c>
    </row>
    <row r="37" spans="2:11" x14ac:dyDescent="0.15">
      <c r="B37" s="542">
        <v>29</v>
      </c>
      <c r="C37" s="375"/>
      <c r="D37" s="358"/>
      <c r="E37" s="358"/>
      <c r="F37" s="359"/>
      <c r="G37" s="543" t="str">
        <f t="shared" si="0"/>
        <v/>
      </c>
      <c r="H37" s="361"/>
      <c r="I37" s="358"/>
      <c r="J37" s="544" t="str">
        <f t="shared" si="1"/>
        <v/>
      </c>
      <c r="K37" s="544" t="str">
        <f t="shared" si="2"/>
        <v/>
      </c>
    </row>
    <row r="38" spans="2:11" x14ac:dyDescent="0.15">
      <c r="B38" s="542">
        <v>30</v>
      </c>
      <c r="C38" s="375"/>
      <c r="D38" s="358"/>
      <c r="E38" s="358"/>
      <c r="F38" s="359"/>
      <c r="G38" s="543" t="str">
        <f t="shared" si="0"/>
        <v/>
      </c>
      <c r="H38" s="361"/>
      <c r="I38" s="358"/>
      <c r="J38" s="544" t="str">
        <f t="shared" si="1"/>
        <v/>
      </c>
      <c r="K38" s="544" t="str">
        <f t="shared" si="2"/>
        <v/>
      </c>
    </row>
    <row r="39" spans="2:11" x14ac:dyDescent="0.15">
      <c r="B39" s="542">
        <v>31</v>
      </c>
      <c r="C39" s="375"/>
      <c r="D39" s="358"/>
      <c r="E39" s="358"/>
      <c r="F39" s="359"/>
      <c r="G39" s="543" t="str">
        <f t="shared" si="0"/>
        <v/>
      </c>
      <c r="H39" s="361"/>
      <c r="I39" s="358"/>
      <c r="J39" s="544" t="str">
        <f t="shared" si="1"/>
        <v/>
      </c>
      <c r="K39" s="544" t="str">
        <f t="shared" si="2"/>
        <v/>
      </c>
    </row>
    <row r="40" spans="2:11" x14ac:dyDescent="0.15">
      <c r="B40" s="542">
        <v>32</v>
      </c>
      <c r="C40" s="375"/>
      <c r="D40" s="358"/>
      <c r="E40" s="358"/>
      <c r="F40" s="359"/>
      <c r="G40" s="543" t="str">
        <f t="shared" si="0"/>
        <v/>
      </c>
      <c r="H40" s="361"/>
      <c r="I40" s="358"/>
      <c r="J40" s="544" t="str">
        <f t="shared" si="1"/>
        <v/>
      </c>
      <c r="K40" s="544" t="str">
        <f t="shared" si="2"/>
        <v/>
      </c>
    </row>
    <row r="41" spans="2:11" x14ac:dyDescent="0.15">
      <c r="B41" s="542">
        <v>33</v>
      </c>
      <c r="C41" s="375"/>
      <c r="D41" s="358"/>
      <c r="E41" s="358"/>
      <c r="F41" s="359"/>
      <c r="G41" s="543" t="str">
        <f t="shared" si="0"/>
        <v/>
      </c>
      <c r="H41" s="361"/>
      <c r="I41" s="358"/>
      <c r="J41" s="544" t="str">
        <f t="shared" si="1"/>
        <v/>
      </c>
      <c r="K41" s="544" t="str">
        <f t="shared" si="2"/>
        <v/>
      </c>
    </row>
    <row r="42" spans="2:11" x14ac:dyDescent="0.15">
      <c r="B42" s="542">
        <v>34</v>
      </c>
      <c r="C42" s="375"/>
      <c r="D42" s="358"/>
      <c r="E42" s="358"/>
      <c r="F42" s="359"/>
      <c r="G42" s="543" t="str">
        <f t="shared" si="0"/>
        <v/>
      </c>
      <c r="H42" s="361"/>
      <c r="I42" s="358"/>
      <c r="J42" s="544" t="str">
        <f t="shared" si="1"/>
        <v/>
      </c>
      <c r="K42" s="544" t="str">
        <f t="shared" si="2"/>
        <v/>
      </c>
    </row>
    <row r="43" spans="2:11" x14ac:dyDescent="0.15">
      <c r="B43" s="542">
        <v>35</v>
      </c>
      <c r="C43" s="375"/>
      <c r="D43" s="358"/>
      <c r="E43" s="358"/>
      <c r="F43" s="359"/>
      <c r="G43" s="543" t="str">
        <f t="shared" si="0"/>
        <v/>
      </c>
      <c r="H43" s="361"/>
      <c r="I43" s="358"/>
      <c r="J43" s="544" t="str">
        <f t="shared" si="1"/>
        <v/>
      </c>
      <c r="K43" s="544" t="str">
        <f t="shared" si="2"/>
        <v/>
      </c>
    </row>
    <row r="44" spans="2:11" x14ac:dyDescent="0.15">
      <c r="B44" s="542">
        <v>36</v>
      </c>
      <c r="C44" s="375"/>
      <c r="D44" s="358"/>
      <c r="E44" s="358"/>
      <c r="F44" s="359"/>
      <c r="G44" s="543" t="str">
        <f t="shared" si="0"/>
        <v/>
      </c>
      <c r="H44" s="361"/>
      <c r="I44" s="358"/>
      <c r="J44" s="544" t="str">
        <f t="shared" si="1"/>
        <v/>
      </c>
      <c r="K44" s="544" t="str">
        <f t="shared" si="2"/>
        <v/>
      </c>
    </row>
    <row r="45" spans="2:11" x14ac:dyDescent="0.15">
      <c r="B45" s="542">
        <v>37</v>
      </c>
      <c r="C45" s="375"/>
      <c r="D45" s="358"/>
      <c r="E45" s="358"/>
      <c r="F45" s="359"/>
      <c r="G45" s="543" t="str">
        <f t="shared" si="0"/>
        <v/>
      </c>
      <c r="H45" s="361"/>
      <c r="I45" s="358"/>
      <c r="J45" s="544" t="str">
        <f t="shared" si="1"/>
        <v/>
      </c>
      <c r="K45" s="544" t="str">
        <f t="shared" si="2"/>
        <v/>
      </c>
    </row>
    <row r="46" spans="2:11" x14ac:dyDescent="0.15">
      <c r="B46" s="542">
        <v>38</v>
      </c>
      <c r="C46" s="375"/>
      <c r="D46" s="358"/>
      <c r="E46" s="358"/>
      <c r="F46" s="359"/>
      <c r="G46" s="543" t="str">
        <f t="shared" si="0"/>
        <v/>
      </c>
      <c r="H46" s="361"/>
      <c r="I46" s="358"/>
      <c r="J46" s="544" t="str">
        <f t="shared" si="1"/>
        <v/>
      </c>
      <c r="K46" s="544" t="str">
        <f t="shared" si="2"/>
        <v/>
      </c>
    </row>
    <row r="47" spans="2:11" x14ac:dyDescent="0.15">
      <c r="B47" s="542">
        <v>39</v>
      </c>
      <c r="C47" s="375"/>
      <c r="D47" s="358"/>
      <c r="E47" s="358"/>
      <c r="F47" s="359"/>
      <c r="G47" s="543" t="str">
        <f t="shared" si="0"/>
        <v/>
      </c>
      <c r="H47" s="361"/>
      <c r="I47" s="358"/>
      <c r="J47" s="544" t="str">
        <f t="shared" si="1"/>
        <v/>
      </c>
      <c r="K47" s="544" t="str">
        <f t="shared" si="2"/>
        <v/>
      </c>
    </row>
    <row r="48" spans="2:11" x14ac:dyDescent="0.15">
      <c r="B48" s="542">
        <v>40</v>
      </c>
      <c r="C48" s="375"/>
      <c r="D48" s="358"/>
      <c r="E48" s="358"/>
      <c r="F48" s="359"/>
      <c r="G48" s="543" t="str">
        <f t="shared" si="0"/>
        <v/>
      </c>
      <c r="H48" s="361"/>
      <c r="I48" s="358"/>
      <c r="J48" s="544" t="str">
        <f t="shared" si="1"/>
        <v/>
      </c>
      <c r="K48" s="544" t="str">
        <f t="shared" si="2"/>
        <v/>
      </c>
    </row>
    <row r="49" spans="2:11" x14ac:dyDescent="0.15">
      <c r="B49" s="542">
        <v>41</v>
      </c>
      <c r="C49" s="375"/>
      <c r="D49" s="358"/>
      <c r="E49" s="358"/>
      <c r="F49" s="359"/>
      <c r="G49" s="543" t="str">
        <f t="shared" si="0"/>
        <v/>
      </c>
      <c r="H49" s="361"/>
      <c r="I49" s="358"/>
      <c r="J49" s="544" t="str">
        <f t="shared" si="1"/>
        <v/>
      </c>
      <c r="K49" s="544" t="str">
        <f t="shared" si="2"/>
        <v/>
      </c>
    </row>
    <row r="50" spans="2:11" x14ac:dyDescent="0.15">
      <c r="B50" s="542">
        <v>42</v>
      </c>
      <c r="C50" s="375"/>
      <c r="D50" s="358"/>
      <c r="E50" s="358"/>
      <c r="F50" s="359"/>
      <c r="G50" s="543" t="str">
        <f t="shared" si="0"/>
        <v/>
      </c>
      <c r="H50" s="361"/>
      <c r="I50" s="358"/>
      <c r="J50" s="544" t="str">
        <f t="shared" si="1"/>
        <v/>
      </c>
      <c r="K50" s="544" t="str">
        <f t="shared" si="2"/>
        <v/>
      </c>
    </row>
    <row r="51" spans="2:11" x14ac:dyDescent="0.15">
      <c r="B51" s="542">
        <v>43</v>
      </c>
      <c r="C51" s="375"/>
      <c r="D51" s="358"/>
      <c r="E51" s="358"/>
      <c r="F51" s="359"/>
      <c r="G51" s="543" t="str">
        <f t="shared" si="0"/>
        <v/>
      </c>
      <c r="H51" s="361"/>
      <c r="I51" s="358"/>
      <c r="J51" s="544" t="str">
        <f t="shared" si="1"/>
        <v/>
      </c>
      <c r="K51" s="544" t="str">
        <f t="shared" si="2"/>
        <v/>
      </c>
    </row>
    <row r="52" spans="2:11" x14ac:dyDescent="0.15">
      <c r="B52" s="542">
        <v>44</v>
      </c>
      <c r="C52" s="375"/>
      <c r="D52" s="358"/>
      <c r="E52" s="358"/>
      <c r="F52" s="359"/>
      <c r="G52" s="543" t="str">
        <f t="shared" si="0"/>
        <v/>
      </c>
      <c r="H52" s="361"/>
      <c r="I52" s="358"/>
      <c r="J52" s="544" t="str">
        <f t="shared" si="1"/>
        <v/>
      </c>
      <c r="K52" s="544" t="str">
        <f t="shared" si="2"/>
        <v/>
      </c>
    </row>
    <row r="53" spans="2:11" x14ac:dyDescent="0.15">
      <c r="B53" s="542">
        <v>45</v>
      </c>
      <c r="C53" s="375"/>
      <c r="D53" s="358"/>
      <c r="E53" s="358"/>
      <c r="F53" s="359"/>
      <c r="G53" s="543" t="str">
        <f t="shared" si="0"/>
        <v/>
      </c>
      <c r="H53" s="361"/>
      <c r="I53" s="358"/>
      <c r="J53" s="544" t="str">
        <f t="shared" si="1"/>
        <v/>
      </c>
      <c r="K53" s="544" t="str">
        <f t="shared" si="2"/>
        <v/>
      </c>
    </row>
    <row r="54" spans="2:11" x14ac:dyDescent="0.15">
      <c r="B54" s="542">
        <v>46</v>
      </c>
      <c r="C54" s="375"/>
      <c r="D54" s="358"/>
      <c r="E54" s="358"/>
      <c r="F54" s="359"/>
      <c r="G54" s="543" t="str">
        <f t="shared" si="0"/>
        <v/>
      </c>
      <c r="H54" s="361"/>
      <c r="I54" s="358"/>
      <c r="J54" s="544" t="str">
        <f t="shared" si="1"/>
        <v/>
      </c>
      <c r="K54" s="544" t="str">
        <f t="shared" si="2"/>
        <v/>
      </c>
    </row>
    <row r="55" spans="2:11" x14ac:dyDescent="0.15">
      <c r="B55" s="542">
        <v>47</v>
      </c>
      <c r="C55" s="375"/>
      <c r="D55" s="358"/>
      <c r="E55" s="358"/>
      <c r="F55" s="359"/>
      <c r="G55" s="543" t="str">
        <f t="shared" si="0"/>
        <v/>
      </c>
      <c r="H55" s="361"/>
      <c r="I55" s="358"/>
      <c r="J55" s="544" t="str">
        <f t="shared" si="1"/>
        <v/>
      </c>
      <c r="K55" s="544" t="str">
        <f t="shared" si="2"/>
        <v/>
      </c>
    </row>
    <row r="56" spans="2:11" x14ac:dyDescent="0.15">
      <c r="B56" s="542">
        <v>48</v>
      </c>
      <c r="C56" s="375"/>
      <c r="D56" s="358"/>
      <c r="E56" s="358"/>
      <c r="F56" s="359"/>
      <c r="G56" s="543" t="str">
        <f t="shared" si="0"/>
        <v/>
      </c>
      <c r="H56" s="361"/>
      <c r="I56" s="358"/>
      <c r="J56" s="544" t="str">
        <f t="shared" si="1"/>
        <v/>
      </c>
      <c r="K56" s="544" t="str">
        <f t="shared" si="2"/>
        <v/>
      </c>
    </row>
    <row r="57" spans="2:11" x14ac:dyDescent="0.15">
      <c r="B57" s="542">
        <v>49</v>
      </c>
      <c r="C57" s="375"/>
      <c r="D57" s="358"/>
      <c r="E57" s="358"/>
      <c r="F57" s="359"/>
      <c r="G57" s="543" t="str">
        <f t="shared" si="0"/>
        <v/>
      </c>
      <c r="H57" s="361"/>
      <c r="I57" s="358"/>
      <c r="J57" s="544" t="str">
        <f t="shared" si="1"/>
        <v/>
      </c>
      <c r="K57" s="544" t="str">
        <f t="shared" si="2"/>
        <v/>
      </c>
    </row>
    <row r="58" spans="2:11" x14ac:dyDescent="0.15">
      <c r="B58" s="542">
        <v>50</v>
      </c>
      <c r="C58" s="375"/>
      <c r="D58" s="358"/>
      <c r="E58" s="358"/>
      <c r="F58" s="359"/>
      <c r="G58" s="543" t="str">
        <f t="shared" si="0"/>
        <v/>
      </c>
      <c r="H58" s="361"/>
      <c r="I58" s="358"/>
      <c r="J58" s="544" t="str">
        <f t="shared" si="1"/>
        <v/>
      </c>
      <c r="K58" s="544" t="str">
        <f t="shared" si="2"/>
        <v/>
      </c>
    </row>
    <row r="59" spans="2:11" x14ac:dyDescent="0.15">
      <c r="B59" s="542">
        <v>51</v>
      </c>
      <c r="C59" s="375"/>
      <c r="D59" s="358"/>
      <c r="E59" s="358"/>
      <c r="F59" s="359"/>
      <c r="G59" s="543" t="str">
        <f t="shared" si="0"/>
        <v/>
      </c>
      <c r="H59" s="361"/>
      <c r="I59" s="358"/>
      <c r="J59" s="544" t="str">
        <f t="shared" si="1"/>
        <v/>
      </c>
      <c r="K59" s="544" t="str">
        <f t="shared" si="2"/>
        <v/>
      </c>
    </row>
    <row r="60" spans="2:11" x14ac:dyDescent="0.15">
      <c r="B60" s="542">
        <v>52</v>
      </c>
      <c r="C60" s="375"/>
      <c r="D60" s="358"/>
      <c r="E60" s="358"/>
      <c r="F60" s="359"/>
      <c r="G60" s="543" t="str">
        <f t="shared" si="0"/>
        <v/>
      </c>
      <c r="H60" s="361"/>
      <c r="I60" s="358"/>
      <c r="J60" s="544" t="str">
        <f t="shared" si="1"/>
        <v/>
      </c>
      <c r="K60" s="544" t="str">
        <f t="shared" si="2"/>
        <v/>
      </c>
    </row>
    <row r="61" spans="2:11" x14ac:dyDescent="0.15">
      <c r="B61" s="542">
        <v>53</v>
      </c>
      <c r="C61" s="375"/>
      <c r="D61" s="358"/>
      <c r="E61" s="358"/>
      <c r="F61" s="359"/>
      <c r="G61" s="543" t="str">
        <f t="shared" si="0"/>
        <v/>
      </c>
      <c r="H61" s="361"/>
      <c r="I61" s="358"/>
      <c r="J61" s="544" t="str">
        <f t="shared" si="1"/>
        <v/>
      </c>
      <c r="K61" s="544" t="str">
        <f t="shared" si="2"/>
        <v/>
      </c>
    </row>
    <row r="62" spans="2:11" x14ac:dyDescent="0.15">
      <c r="B62" s="542">
        <v>54</v>
      </c>
      <c r="C62" s="375"/>
      <c r="D62" s="358"/>
      <c r="E62" s="358"/>
      <c r="F62" s="359"/>
      <c r="G62" s="543" t="str">
        <f t="shared" si="0"/>
        <v/>
      </c>
      <c r="H62" s="361"/>
      <c r="I62" s="358"/>
      <c r="J62" s="544" t="str">
        <f t="shared" si="1"/>
        <v/>
      </c>
      <c r="K62" s="544" t="str">
        <f t="shared" si="2"/>
        <v/>
      </c>
    </row>
    <row r="63" spans="2:11" x14ac:dyDescent="0.15">
      <c r="B63" s="542">
        <v>55</v>
      </c>
      <c r="C63" s="375"/>
      <c r="D63" s="358"/>
      <c r="E63" s="358"/>
      <c r="F63" s="359"/>
      <c r="G63" s="543" t="str">
        <f t="shared" si="0"/>
        <v/>
      </c>
      <c r="H63" s="361"/>
      <c r="I63" s="358"/>
      <c r="J63" s="544" t="str">
        <f t="shared" si="1"/>
        <v/>
      </c>
      <c r="K63" s="544" t="str">
        <f t="shared" si="2"/>
        <v/>
      </c>
    </row>
    <row r="64" spans="2:11" x14ac:dyDescent="0.15">
      <c r="B64" s="542">
        <v>56</v>
      </c>
      <c r="C64" s="375"/>
      <c r="D64" s="358"/>
      <c r="E64" s="358"/>
      <c r="F64" s="359"/>
      <c r="G64" s="543" t="str">
        <f t="shared" si="0"/>
        <v/>
      </c>
      <c r="H64" s="361"/>
      <c r="I64" s="358"/>
      <c r="J64" s="544" t="str">
        <f t="shared" si="1"/>
        <v/>
      </c>
      <c r="K64" s="544" t="str">
        <f t="shared" si="2"/>
        <v/>
      </c>
    </row>
    <row r="65" spans="2:11" x14ac:dyDescent="0.15">
      <c r="B65" s="542">
        <v>57</v>
      </c>
      <c r="C65" s="375"/>
      <c r="D65" s="358"/>
      <c r="E65" s="358"/>
      <c r="F65" s="359"/>
      <c r="G65" s="543" t="str">
        <f t="shared" si="0"/>
        <v/>
      </c>
      <c r="H65" s="361"/>
      <c r="I65" s="358"/>
      <c r="J65" s="544" t="str">
        <f t="shared" si="1"/>
        <v/>
      </c>
      <c r="K65" s="544" t="str">
        <f t="shared" si="2"/>
        <v/>
      </c>
    </row>
    <row r="66" spans="2:11" x14ac:dyDescent="0.15">
      <c r="B66" s="542">
        <v>58</v>
      </c>
      <c r="C66" s="375"/>
      <c r="D66" s="358"/>
      <c r="E66" s="358"/>
      <c r="F66" s="359"/>
      <c r="G66" s="543" t="str">
        <f t="shared" si="0"/>
        <v/>
      </c>
      <c r="H66" s="361"/>
      <c r="I66" s="358"/>
      <c r="J66" s="544" t="str">
        <f t="shared" si="1"/>
        <v/>
      </c>
      <c r="K66" s="544" t="str">
        <f t="shared" si="2"/>
        <v/>
      </c>
    </row>
    <row r="67" spans="2:11" x14ac:dyDescent="0.15">
      <c r="B67" s="542">
        <v>59</v>
      </c>
      <c r="C67" s="375"/>
      <c r="D67" s="358"/>
      <c r="E67" s="358"/>
      <c r="F67" s="359"/>
      <c r="G67" s="543" t="str">
        <f t="shared" si="0"/>
        <v/>
      </c>
      <c r="H67" s="361"/>
      <c r="I67" s="358"/>
      <c r="J67" s="544" t="str">
        <f t="shared" si="1"/>
        <v/>
      </c>
      <c r="K67" s="544" t="str">
        <f t="shared" si="2"/>
        <v/>
      </c>
    </row>
    <row r="68" spans="2:11" x14ac:dyDescent="0.15">
      <c r="B68" s="542">
        <v>60</v>
      </c>
      <c r="C68" s="375"/>
      <c r="D68" s="358"/>
      <c r="E68" s="358"/>
      <c r="F68" s="359"/>
      <c r="G68" s="543" t="str">
        <f t="shared" si="0"/>
        <v/>
      </c>
      <c r="H68" s="361"/>
      <c r="I68" s="358"/>
      <c r="J68" s="544" t="str">
        <f t="shared" si="1"/>
        <v/>
      </c>
      <c r="K68" s="544" t="str">
        <f t="shared" si="2"/>
        <v/>
      </c>
    </row>
    <row r="69" spans="2:11" x14ac:dyDescent="0.15">
      <c r="B69" s="542">
        <v>61</v>
      </c>
      <c r="C69" s="375"/>
      <c r="D69" s="358"/>
      <c r="E69" s="358"/>
      <c r="F69" s="359"/>
      <c r="G69" s="543" t="str">
        <f t="shared" si="0"/>
        <v/>
      </c>
      <c r="H69" s="361"/>
      <c r="I69" s="358"/>
      <c r="J69" s="544" t="str">
        <f t="shared" si="1"/>
        <v/>
      </c>
      <c r="K69" s="544" t="str">
        <f t="shared" si="2"/>
        <v/>
      </c>
    </row>
    <row r="70" spans="2:11" x14ac:dyDescent="0.15">
      <c r="B70" s="542">
        <v>62</v>
      </c>
      <c r="C70" s="375"/>
      <c r="D70" s="358"/>
      <c r="E70" s="358"/>
      <c r="F70" s="359"/>
      <c r="G70" s="543" t="str">
        <f t="shared" si="0"/>
        <v/>
      </c>
      <c r="H70" s="361"/>
      <c r="I70" s="358"/>
      <c r="J70" s="544" t="str">
        <f t="shared" si="1"/>
        <v/>
      </c>
      <c r="K70" s="544" t="str">
        <f t="shared" si="2"/>
        <v/>
      </c>
    </row>
    <row r="71" spans="2:11" x14ac:dyDescent="0.15">
      <c r="B71" s="542">
        <v>63</v>
      </c>
      <c r="C71" s="375"/>
      <c r="D71" s="358"/>
      <c r="E71" s="358"/>
      <c r="F71" s="359"/>
      <c r="G71" s="543" t="str">
        <f t="shared" si="0"/>
        <v/>
      </c>
      <c r="H71" s="361"/>
      <c r="I71" s="358"/>
      <c r="J71" s="544" t="str">
        <f t="shared" si="1"/>
        <v/>
      </c>
      <c r="K71" s="544" t="str">
        <f t="shared" si="2"/>
        <v/>
      </c>
    </row>
    <row r="72" spans="2:11" x14ac:dyDescent="0.15">
      <c r="B72" s="542">
        <v>64</v>
      </c>
      <c r="C72" s="375"/>
      <c r="D72" s="358"/>
      <c r="E72" s="358"/>
      <c r="F72" s="359"/>
      <c r="G72" s="543" t="str">
        <f t="shared" si="0"/>
        <v/>
      </c>
      <c r="H72" s="361"/>
      <c r="I72" s="358"/>
      <c r="J72" s="544" t="str">
        <f t="shared" si="1"/>
        <v/>
      </c>
      <c r="K72" s="544" t="str">
        <f t="shared" si="2"/>
        <v/>
      </c>
    </row>
    <row r="73" spans="2:11" x14ac:dyDescent="0.15">
      <c r="B73" s="542">
        <v>65</v>
      </c>
      <c r="C73" s="375"/>
      <c r="D73" s="358"/>
      <c r="E73" s="358"/>
      <c r="F73" s="359"/>
      <c r="G73" s="543" t="str">
        <f t="shared" si="0"/>
        <v/>
      </c>
      <c r="H73" s="361"/>
      <c r="I73" s="358"/>
      <c r="J73" s="544" t="str">
        <f t="shared" si="1"/>
        <v/>
      </c>
      <c r="K73" s="544" t="str">
        <f t="shared" si="2"/>
        <v/>
      </c>
    </row>
    <row r="74" spans="2:11" x14ac:dyDescent="0.15">
      <c r="B74" s="542">
        <v>66</v>
      </c>
      <c r="C74" s="375"/>
      <c r="D74" s="358"/>
      <c r="E74" s="358"/>
      <c r="F74" s="359"/>
      <c r="G74" s="543" t="str">
        <f t="shared" ref="G74:G137" si="3">IF(F74="","",DATEDIF(F74,$K$7,"Y"))</f>
        <v/>
      </c>
      <c r="H74" s="361"/>
      <c r="I74" s="358"/>
      <c r="J74" s="544" t="str">
        <f t="shared" ref="J74:J137" si="4">IF($H74="","",IF($I74="",DATEDIF($H74,$K$7,"m"),DATEDIF($H74,$I74,"M")))</f>
        <v/>
      </c>
      <c r="K74" s="544" t="str">
        <f t="shared" ref="K74:K137" si="5">IF($H74="","",IF($I74="",DATEDIF($H74,$K$7,"Y"),DATEDIF($H74,$I74,"Y")))</f>
        <v/>
      </c>
    </row>
    <row r="75" spans="2:11" x14ac:dyDescent="0.15">
      <c r="B75" s="542">
        <v>67</v>
      </c>
      <c r="C75" s="375"/>
      <c r="D75" s="358"/>
      <c r="E75" s="358"/>
      <c r="F75" s="359"/>
      <c r="G75" s="543" t="str">
        <f t="shared" si="3"/>
        <v/>
      </c>
      <c r="H75" s="361"/>
      <c r="I75" s="358"/>
      <c r="J75" s="544" t="str">
        <f t="shared" si="4"/>
        <v/>
      </c>
      <c r="K75" s="544" t="str">
        <f t="shared" si="5"/>
        <v/>
      </c>
    </row>
    <row r="76" spans="2:11" x14ac:dyDescent="0.15">
      <c r="B76" s="542">
        <v>68</v>
      </c>
      <c r="C76" s="375"/>
      <c r="D76" s="358"/>
      <c r="E76" s="358"/>
      <c r="F76" s="359"/>
      <c r="G76" s="543" t="str">
        <f t="shared" si="3"/>
        <v/>
      </c>
      <c r="H76" s="361"/>
      <c r="I76" s="358"/>
      <c r="J76" s="544" t="str">
        <f t="shared" si="4"/>
        <v/>
      </c>
      <c r="K76" s="544" t="str">
        <f t="shared" si="5"/>
        <v/>
      </c>
    </row>
    <row r="77" spans="2:11" x14ac:dyDescent="0.15">
      <c r="B77" s="542">
        <v>69</v>
      </c>
      <c r="C77" s="375"/>
      <c r="D77" s="358"/>
      <c r="E77" s="358"/>
      <c r="F77" s="359"/>
      <c r="G77" s="543" t="str">
        <f t="shared" si="3"/>
        <v/>
      </c>
      <c r="H77" s="361"/>
      <c r="I77" s="358"/>
      <c r="J77" s="544" t="str">
        <f t="shared" si="4"/>
        <v/>
      </c>
      <c r="K77" s="544" t="str">
        <f t="shared" si="5"/>
        <v/>
      </c>
    </row>
    <row r="78" spans="2:11" x14ac:dyDescent="0.15">
      <c r="B78" s="542">
        <v>70</v>
      </c>
      <c r="C78" s="375"/>
      <c r="D78" s="358"/>
      <c r="E78" s="358"/>
      <c r="F78" s="359"/>
      <c r="G78" s="543" t="str">
        <f t="shared" si="3"/>
        <v/>
      </c>
      <c r="H78" s="361"/>
      <c r="I78" s="358"/>
      <c r="J78" s="544" t="str">
        <f t="shared" si="4"/>
        <v/>
      </c>
      <c r="K78" s="544" t="str">
        <f t="shared" si="5"/>
        <v/>
      </c>
    </row>
    <row r="79" spans="2:11" x14ac:dyDescent="0.15">
      <c r="B79" s="542">
        <v>71</v>
      </c>
      <c r="C79" s="375"/>
      <c r="D79" s="358"/>
      <c r="E79" s="358"/>
      <c r="F79" s="359"/>
      <c r="G79" s="543" t="str">
        <f t="shared" si="3"/>
        <v/>
      </c>
      <c r="H79" s="361"/>
      <c r="I79" s="358"/>
      <c r="J79" s="544" t="str">
        <f t="shared" si="4"/>
        <v/>
      </c>
      <c r="K79" s="544" t="str">
        <f t="shared" si="5"/>
        <v/>
      </c>
    </row>
    <row r="80" spans="2:11" x14ac:dyDescent="0.15">
      <c r="B80" s="542">
        <v>72</v>
      </c>
      <c r="C80" s="375"/>
      <c r="D80" s="358"/>
      <c r="E80" s="358"/>
      <c r="F80" s="359"/>
      <c r="G80" s="543" t="str">
        <f t="shared" si="3"/>
        <v/>
      </c>
      <c r="H80" s="361"/>
      <c r="I80" s="358"/>
      <c r="J80" s="544" t="str">
        <f t="shared" si="4"/>
        <v/>
      </c>
      <c r="K80" s="544" t="str">
        <f t="shared" si="5"/>
        <v/>
      </c>
    </row>
    <row r="81" spans="2:11" x14ac:dyDescent="0.15">
      <c r="B81" s="542">
        <v>73</v>
      </c>
      <c r="C81" s="375"/>
      <c r="D81" s="358"/>
      <c r="E81" s="358"/>
      <c r="F81" s="359"/>
      <c r="G81" s="543" t="str">
        <f t="shared" si="3"/>
        <v/>
      </c>
      <c r="H81" s="361"/>
      <c r="I81" s="358"/>
      <c r="J81" s="544" t="str">
        <f t="shared" si="4"/>
        <v/>
      </c>
      <c r="K81" s="544" t="str">
        <f t="shared" si="5"/>
        <v/>
      </c>
    </row>
    <row r="82" spans="2:11" x14ac:dyDescent="0.15">
      <c r="B82" s="542">
        <v>74</v>
      </c>
      <c r="C82" s="375"/>
      <c r="D82" s="358"/>
      <c r="E82" s="358"/>
      <c r="F82" s="359"/>
      <c r="G82" s="543" t="str">
        <f t="shared" si="3"/>
        <v/>
      </c>
      <c r="H82" s="361"/>
      <c r="I82" s="358"/>
      <c r="J82" s="544" t="str">
        <f t="shared" si="4"/>
        <v/>
      </c>
      <c r="K82" s="544" t="str">
        <f t="shared" si="5"/>
        <v/>
      </c>
    </row>
    <row r="83" spans="2:11" x14ac:dyDescent="0.15">
      <c r="B83" s="542">
        <v>75</v>
      </c>
      <c r="C83" s="375"/>
      <c r="D83" s="358"/>
      <c r="E83" s="358"/>
      <c r="F83" s="359"/>
      <c r="G83" s="543" t="str">
        <f t="shared" si="3"/>
        <v/>
      </c>
      <c r="H83" s="361"/>
      <c r="I83" s="358"/>
      <c r="J83" s="544" t="str">
        <f t="shared" si="4"/>
        <v/>
      </c>
      <c r="K83" s="544" t="str">
        <f t="shared" si="5"/>
        <v/>
      </c>
    </row>
    <row r="84" spans="2:11" x14ac:dyDescent="0.15">
      <c r="B84" s="542">
        <v>76</v>
      </c>
      <c r="C84" s="375"/>
      <c r="D84" s="358"/>
      <c r="E84" s="358"/>
      <c r="F84" s="359"/>
      <c r="G84" s="543" t="str">
        <f t="shared" si="3"/>
        <v/>
      </c>
      <c r="H84" s="361"/>
      <c r="I84" s="358"/>
      <c r="J84" s="544" t="str">
        <f t="shared" si="4"/>
        <v/>
      </c>
      <c r="K84" s="544" t="str">
        <f t="shared" si="5"/>
        <v/>
      </c>
    </row>
    <row r="85" spans="2:11" x14ac:dyDescent="0.15">
      <c r="B85" s="542">
        <v>77</v>
      </c>
      <c r="C85" s="375"/>
      <c r="D85" s="358"/>
      <c r="E85" s="358"/>
      <c r="F85" s="359"/>
      <c r="G85" s="543" t="str">
        <f t="shared" si="3"/>
        <v/>
      </c>
      <c r="H85" s="361"/>
      <c r="I85" s="358"/>
      <c r="J85" s="544" t="str">
        <f t="shared" si="4"/>
        <v/>
      </c>
      <c r="K85" s="544" t="str">
        <f t="shared" si="5"/>
        <v/>
      </c>
    </row>
    <row r="86" spans="2:11" x14ac:dyDescent="0.15">
      <c r="B86" s="542">
        <v>78</v>
      </c>
      <c r="C86" s="375"/>
      <c r="D86" s="358"/>
      <c r="E86" s="358"/>
      <c r="F86" s="359"/>
      <c r="G86" s="543" t="str">
        <f t="shared" si="3"/>
        <v/>
      </c>
      <c r="H86" s="361"/>
      <c r="I86" s="358"/>
      <c r="J86" s="544" t="str">
        <f t="shared" si="4"/>
        <v/>
      </c>
      <c r="K86" s="544" t="str">
        <f t="shared" si="5"/>
        <v/>
      </c>
    </row>
    <row r="87" spans="2:11" x14ac:dyDescent="0.15">
      <c r="B87" s="542">
        <v>79</v>
      </c>
      <c r="C87" s="375"/>
      <c r="D87" s="358"/>
      <c r="E87" s="358"/>
      <c r="F87" s="359"/>
      <c r="G87" s="543" t="str">
        <f t="shared" si="3"/>
        <v/>
      </c>
      <c r="H87" s="361"/>
      <c r="I87" s="358"/>
      <c r="J87" s="544" t="str">
        <f t="shared" si="4"/>
        <v/>
      </c>
      <c r="K87" s="544" t="str">
        <f t="shared" si="5"/>
        <v/>
      </c>
    </row>
    <row r="88" spans="2:11" x14ac:dyDescent="0.15">
      <c r="B88" s="542">
        <v>80</v>
      </c>
      <c r="C88" s="375"/>
      <c r="D88" s="358"/>
      <c r="E88" s="358"/>
      <c r="F88" s="359"/>
      <c r="G88" s="543" t="str">
        <f t="shared" si="3"/>
        <v/>
      </c>
      <c r="H88" s="361"/>
      <c r="I88" s="358"/>
      <c r="J88" s="544" t="str">
        <f t="shared" si="4"/>
        <v/>
      </c>
      <c r="K88" s="544" t="str">
        <f t="shared" si="5"/>
        <v/>
      </c>
    </row>
    <row r="89" spans="2:11" x14ac:dyDescent="0.15">
      <c r="B89" s="542">
        <v>81</v>
      </c>
      <c r="C89" s="375"/>
      <c r="D89" s="358"/>
      <c r="E89" s="358"/>
      <c r="F89" s="359"/>
      <c r="G89" s="543" t="str">
        <f t="shared" si="3"/>
        <v/>
      </c>
      <c r="H89" s="361"/>
      <c r="I89" s="358"/>
      <c r="J89" s="544" t="str">
        <f t="shared" si="4"/>
        <v/>
      </c>
      <c r="K89" s="544" t="str">
        <f t="shared" si="5"/>
        <v/>
      </c>
    </row>
    <row r="90" spans="2:11" x14ac:dyDescent="0.15">
      <c r="B90" s="542">
        <v>82</v>
      </c>
      <c r="C90" s="375"/>
      <c r="D90" s="358"/>
      <c r="E90" s="358"/>
      <c r="F90" s="359"/>
      <c r="G90" s="543" t="str">
        <f t="shared" si="3"/>
        <v/>
      </c>
      <c r="H90" s="361"/>
      <c r="I90" s="358"/>
      <c r="J90" s="544" t="str">
        <f t="shared" si="4"/>
        <v/>
      </c>
      <c r="K90" s="544" t="str">
        <f t="shared" si="5"/>
        <v/>
      </c>
    </row>
    <row r="91" spans="2:11" x14ac:dyDescent="0.15">
      <c r="B91" s="542">
        <v>83</v>
      </c>
      <c r="C91" s="375"/>
      <c r="D91" s="358"/>
      <c r="E91" s="358"/>
      <c r="F91" s="359"/>
      <c r="G91" s="543" t="str">
        <f t="shared" si="3"/>
        <v/>
      </c>
      <c r="H91" s="361"/>
      <c r="I91" s="358"/>
      <c r="J91" s="544" t="str">
        <f t="shared" si="4"/>
        <v/>
      </c>
      <c r="K91" s="544" t="str">
        <f t="shared" si="5"/>
        <v/>
      </c>
    </row>
    <row r="92" spans="2:11" x14ac:dyDescent="0.15">
      <c r="B92" s="542">
        <v>84</v>
      </c>
      <c r="C92" s="375"/>
      <c r="D92" s="358"/>
      <c r="E92" s="358"/>
      <c r="F92" s="359"/>
      <c r="G92" s="543" t="str">
        <f t="shared" si="3"/>
        <v/>
      </c>
      <c r="H92" s="361"/>
      <c r="I92" s="358"/>
      <c r="J92" s="544" t="str">
        <f t="shared" si="4"/>
        <v/>
      </c>
      <c r="K92" s="544" t="str">
        <f t="shared" si="5"/>
        <v/>
      </c>
    </row>
    <row r="93" spans="2:11" x14ac:dyDescent="0.15">
      <c r="B93" s="542">
        <v>85</v>
      </c>
      <c r="C93" s="375"/>
      <c r="D93" s="358"/>
      <c r="E93" s="358"/>
      <c r="F93" s="359"/>
      <c r="G93" s="543" t="str">
        <f t="shared" si="3"/>
        <v/>
      </c>
      <c r="H93" s="361"/>
      <c r="I93" s="358"/>
      <c r="J93" s="544" t="str">
        <f t="shared" si="4"/>
        <v/>
      </c>
      <c r="K93" s="544" t="str">
        <f t="shared" si="5"/>
        <v/>
      </c>
    </row>
    <row r="94" spans="2:11" x14ac:dyDescent="0.15">
      <c r="B94" s="542">
        <v>86</v>
      </c>
      <c r="C94" s="375"/>
      <c r="D94" s="358"/>
      <c r="E94" s="358"/>
      <c r="F94" s="359"/>
      <c r="G94" s="543" t="str">
        <f t="shared" si="3"/>
        <v/>
      </c>
      <c r="H94" s="361"/>
      <c r="I94" s="358"/>
      <c r="J94" s="544" t="str">
        <f t="shared" si="4"/>
        <v/>
      </c>
      <c r="K94" s="544" t="str">
        <f t="shared" si="5"/>
        <v/>
      </c>
    </row>
    <row r="95" spans="2:11" x14ac:dyDescent="0.15">
      <c r="B95" s="542">
        <v>87</v>
      </c>
      <c r="C95" s="375"/>
      <c r="D95" s="358"/>
      <c r="E95" s="358"/>
      <c r="F95" s="359"/>
      <c r="G95" s="543" t="str">
        <f t="shared" si="3"/>
        <v/>
      </c>
      <c r="H95" s="361"/>
      <c r="I95" s="358"/>
      <c r="J95" s="544" t="str">
        <f t="shared" si="4"/>
        <v/>
      </c>
      <c r="K95" s="544" t="str">
        <f t="shared" si="5"/>
        <v/>
      </c>
    </row>
    <row r="96" spans="2:11" x14ac:dyDescent="0.15">
      <c r="B96" s="542">
        <v>88</v>
      </c>
      <c r="C96" s="375"/>
      <c r="D96" s="358"/>
      <c r="E96" s="358"/>
      <c r="F96" s="359"/>
      <c r="G96" s="543" t="str">
        <f t="shared" si="3"/>
        <v/>
      </c>
      <c r="H96" s="361"/>
      <c r="I96" s="358"/>
      <c r="J96" s="544" t="str">
        <f t="shared" si="4"/>
        <v/>
      </c>
      <c r="K96" s="544" t="str">
        <f t="shared" si="5"/>
        <v/>
      </c>
    </row>
    <row r="97" spans="2:11" x14ac:dyDescent="0.15">
      <c r="B97" s="542">
        <v>89</v>
      </c>
      <c r="C97" s="375"/>
      <c r="D97" s="358"/>
      <c r="E97" s="358"/>
      <c r="F97" s="359"/>
      <c r="G97" s="543" t="str">
        <f t="shared" si="3"/>
        <v/>
      </c>
      <c r="H97" s="361"/>
      <c r="I97" s="358"/>
      <c r="J97" s="544" t="str">
        <f t="shared" si="4"/>
        <v/>
      </c>
      <c r="K97" s="544" t="str">
        <f t="shared" si="5"/>
        <v/>
      </c>
    </row>
    <row r="98" spans="2:11" x14ac:dyDescent="0.15">
      <c r="B98" s="542">
        <v>90</v>
      </c>
      <c r="C98" s="375"/>
      <c r="D98" s="358"/>
      <c r="E98" s="358"/>
      <c r="F98" s="359"/>
      <c r="G98" s="543" t="str">
        <f t="shared" si="3"/>
        <v/>
      </c>
      <c r="H98" s="361"/>
      <c r="I98" s="358"/>
      <c r="J98" s="544" t="str">
        <f t="shared" si="4"/>
        <v/>
      </c>
      <c r="K98" s="544" t="str">
        <f t="shared" si="5"/>
        <v/>
      </c>
    </row>
    <row r="99" spans="2:11" x14ac:dyDescent="0.15">
      <c r="B99" s="542">
        <v>91</v>
      </c>
      <c r="C99" s="375"/>
      <c r="D99" s="358"/>
      <c r="E99" s="358"/>
      <c r="F99" s="359"/>
      <c r="G99" s="543" t="str">
        <f t="shared" si="3"/>
        <v/>
      </c>
      <c r="H99" s="361"/>
      <c r="I99" s="358"/>
      <c r="J99" s="544" t="str">
        <f t="shared" si="4"/>
        <v/>
      </c>
      <c r="K99" s="544" t="str">
        <f t="shared" si="5"/>
        <v/>
      </c>
    </row>
    <row r="100" spans="2:11" x14ac:dyDescent="0.15">
      <c r="B100" s="542">
        <v>92</v>
      </c>
      <c r="C100" s="375"/>
      <c r="D100" s="358"/>
      <c r="E100" s="358"/>
      <c r="F100" s="359"/>
      <c r="G100" s="543" t="str">
        <f t="shared" si="3"/>
        <v/>
      </c>
      <c r="H100" s="361"/>
      <c r="I100" s="358"/>
      <c r="J100" s="544" t="str">
        <f t="shared" si="4"/>
        <v/>
      </c>
      <c r="K100" s="544" t="str">
        <f t="shared" si="5"/>
        <v/>
      </c>
    </row>
    <row r="101" spans="2:11" x14ac:dyDescent="0.15">
      <c r="B101" s="542">
        <v>93</v>
      </c>
      <c r="C101" s="375"/>
      <c r="D101" s="358"/>
      <c r="E101" s="358"/>
      <c r="F101" s="359"/>
      <c r="G101" s="543" t="str">
        <f t="shared" si="3"/>
        <v/>
      </c>
      <c r="H101" s="361"/>
      <c r="I101" s="358"/>
      <c r="J101" s="544" t="str">
        <f t="shared" si="4"/>
        <v/>
      </c>
      <c r="K101" s="544" t="str">
        <f t="shared" si="5"/>
        <v/>
      </c>
    </row>
    <row r="102" spans="2:11" x14ac:dyDescent="0.15">
      <c r="B102" s="542">
        <v>94</v>
      </c>
      <c r="C102" s="375"/>
      <c r="D102" s="358"/>
      <c r="E102" s="358"/>
      <c r="F102" s="359"/>
      <c r="G102" s="543" t="str">
        <f t="shared" si="3"/>
        <v/>
      </c>
      <c r="H102" s="361"/>
      <c r="I102" s="358"/>
      <c r="J102" s="544" t="str">
        <f t="shared" si="4"/>
        <v/>
      </c>
      <c r="K102" s="544" t="str">
        <f t="shared" si="5"/>
        <v/>
      </c>
    </row>
    <row r="103" spans="2:11" x14ac:dyDescent="0.15">
      <c r="B103" s="542">
        <v>95</v>
      </c>
      <c r="C103" s="375"/>
      <c r="D103" s="358"/>
      <c r="E103" s="358"/>
      <c r="F103" s="359"/>
      <c r="G103" s="543" t="str">
        <f t="shared" si="3"/>
        <v/>
      </c>
      <c r="H103" s="361"/>
      <c r="I103" s="358"/>
      <c r="J103" s="544" t="str">
        <f t="shared" si="4"/>
        <v/>
      </c>
      <c r="K103" s="544" t="str">
        <f t="shared" si="5"/>
        <v/>
      </c>
    </row>
    <row r="104" spans="2:11" x14ac:dyDescent="0.15">
      <c r="B104" s="542">
        <v>96</v>
      </c>
      <c r="C104" s="375"/>
      <c r="D104" s="358"/>
      <c r="E104" s="358"/>
      <c r="F104" s="359"/>
      <c r="G104" s="543" t="str">
        <f t="shared" si="3"/>
        <v/>
      </c>
      <c r="H104" s="361"/>
      <c r="I104" s="358"/>
      <c r="J104" s="544" t="str">
        <f t="shared" si="4"/>
        <v/>
      </c>
      <c r="K104" s="544" t="str">
        <f t="shared" si="5"/>
        <v/>
      </c>
    </row>
    <row r="105" spans="2:11" x14ac:dyDescent="0.15">
      <c r="B105" s="542">
        <v>97</v>
      </c>
      <c r="C105" s="375"/>
      <c r="D105" s="358"/>
      <c r="E105" s="358"/>
      <c r="F105" s="359"/>
      <c r="G105" s="543" t="str">
        <f t="shared" si="3"/>
        <v/>
      </c>
      <c r="H105" s="361"/>
      <c r="I105" s="358"/>
      <c r="J105" s="544" t="str">
        <f t="shared" si="4"/>
        <v/>
      </c>
      <c r="K105" s="544" t="str">
        <f t="shared" si="5"/>
        <v/>
      </c>
    </row>
    <row r="106" spans="2:11" x14ac:dyDescent="0.15">
      <c r="B106" s="542">
        <v>98</v>
      </c>
      <c r="C106" s="375"/>
      <c r="D106" s="358"/>
      <c r="E106" s="358"/>
      <c r="F106" s="359"/>
      <c r="G106" s="543" t="str">
        <f t="shared" si="3"/>
        <v/>
      </c>
      <c r="H106" s="361"/>
      <c r="I106" s="358"/>
      <c r="J106" s="544" t="str">
        <f t="shared" si="4"/>
        <v/>
      </c>
      <c r="K106" s="544" t="str">
        <f t="shared" si="5"/>
        <v/>
      </c>
    </row>
    <row r="107" spans="2:11" x14ac:dyDescent="0.15">
      <c r="B107" s="542">
        <v>99</v>
      </c>
      <c r="C107" s="375"/>
      <c r="D107" s="358"/>
      <c r="E107" s="358"/>
      <c r="F107" s="359"/>
      <c r="G107" s="543" t="str">
        <f t="shared" si="3"/>
        <v/>
      </c>
      <c r="H107" s="361"/>
      <c r="I107" s="358"/>
      <c r="J107" s="544" t="str">
        <f t="shared" si="4"/>
        <v/>
      </c>
      <c r="K107" s="544" t="str">
        <f t="shared" si="5"/>
        <v/>
      </c>
    </row>
    <row r="108" spans="2:11" x14ac:dyDescent="0.15">
      <c r="B108" s="542">
        <v>100</v>
      </c>
      <c r="C108" s="375"/>
      <c r="D108" s="358"/>
      <c r="E108" s="358"/>
      <c r="F108" s="359"/>
      <c r="G108" s="543" t="str">
        <f t="shared" si="3"/>
        <v/>
      </c>
      <c r="H108" s="361"/>
      <c r="I108" s="358"/>
      <c r="J108" s="544" t="str">
        <f t="shared" si="4"/>
        <v/>
      </c>
      <c r="K108" s="544" t="str">
        <f t="shared" si="5"/>
        <v/>
      </c>
    </row>
    <row r="109" spans="2:11" x14ac:dyDescent="0.15">
      <c r="B109" s="542">
        <v>101</v>
      </c>
      <c r="C109" s="375"/>
      <c r="D109" s="358"/>
      <c r="E109" s="358"/>
      <c r="F109" s="359"/>
      <c r="G109" s="543" t="str">
        <f t="shared" si="3"/>
        <v/>
      </c>
      <c r="H109" s="361"/>
      <c r="I109" s="358"/>
      <c r="J109" s="544" t="str">
        <f t="shared" si="4"/>
        <v/>
      </c>
      <c r="K109" s="544" t="str">
        <f t="shared" si="5"/>
        <v/>
      </c>
    </row>
    <row r="110" spans="2:11" x14ac:dyDescent="0.15">
      <c r="B110" s="542">
        <v>102</v>
      </c>
      <c r="C110" s="375"/>
      <c r="D110" s="358"/>
      <c r="E110" s="358"/>
      <c r="F110" s="359"/>
      <c r="G110" s="543" t="str">
        <f t="shared" si="3"/>
        <v/>
      </c>
      <c r="H110" s="361"/>
      <c r="I110" s="358"/>
      <c r="J110" s="544" t="str">
        <f t="shared" si="4"/>
        <v/>
      </c>
      <c r="K110" s="544" t="str">
        <f t="shared" si="5"/>
        <v/>
      </c>
    </row>
    <row r="111" spans="2:11" x14ac:dyDescent="0.15">
      <c r="B111" s="542">
        <v>103</v>
      </c>
      <c r="C111" s="375"/>
      <c r="D111" s="358"/>
      <c r="E111" s="358"/>
      <c r="F111" s="359"/>
      <c r="G111" s="543" t="str">
        <f t="shared" si="3"/>
        <v/>
      </c>
      <c r="H111" s="361"/>
      <c r="I111" s="358"/>
      <c r="J111" s="544" t="str">
        <f t="shared" si="4"/>
        <v/>
      </c>
      <c r="K111" s="544" t="str">
        <f t="shared" si="5"/>
        <v/>
      </c>
    </row>
    <row r="112" spans="2:11" x14ac:dyDescent="0.15">
      <c r="B112" s="542">
        <v>104</v>
      </c>
      <c r="C112" s="375"/>
      <c r="D112" s="358"/>
      <c r="E112" s="358"/>
      <c r="F112" s="359"/>
      <c r="G112" s="543" t="str">
        <f t="shared" si="3"/>
        <v/>
      </c>
      <c r="H112" s="361"/>
      <c r="I112" s="358"/>
      <c r="J112" s="544" t="str">
        <f t="shared" si="4"/>
        <v/>
      </c>
      <c r="K112" s="544" t="str">
        <f t="shared" si="5"/>
        <v/>
      </c>
    </row>
    <row r="113" spans="2:11" x14ac:dyDescent="0.15">
      <c r="B113" s="542">
        <v>105</v>
      </c>
      <c r="C113" s="375"/>
      <c r="D113" s="358"/>
      <c r="E113" s="358"/>
      <c r="F113" s="359"/>
      <c r="G113" s="543" t="str">
        <f t="shared" si="3"/>
        <v/>
      </c>
      <c r="H113" s="361"/>
      <c r="I113" s="358"/>
      <c r="J113" s="544" t="str">
        <f t="shared" si="4"/>
        <v/>
      </c>
      <c r="K113" s="544" t="str">
        <f t="shared" si="5"/>
        <v/>
      </c>
    </row>
    <row r="114" spans="2:11" x14ac:dyDescent="0.15">
      <c r="B114" s="542">
        <v>106</v>
      </c>
      <c r="C114" s="375"/>
      <c r="D114" s="358"/>
      <c r="E114" s="358"/>
      <c r="F114" s="359"/>
      <c r="G114" s="543" t="str">
        <f t="shared" si="3"/>
        <v/>
      </c>
      <c r="H114" s="361"/>
      <c r="I114" s="358"/>
      <c r="J114" s="544" t="str">
        <f t="shared" si="4"/>
        <v/>
      </c>
      <c r="K114" s="544" t="str">
        <f t="shared" si="5"/>
        <v/>
      </c>
    </row>
    <row r="115" spans="2:11" x14ac:dyDescent="0.15">
      <c r="B115" s="542">
        <v>107</v>
      </c>
      <c r="C115" s="375"/>
      <c r="D115" s="358"/>
      <c r="E115" s="358"/>
      <c r="F115" s="359"/>
      <c r="G115" s="543" t="str">
        <f t="shared" si="3"/>
        <v/>
      </c>
      <c r="H115" s="361"/>
      <c r="I115" s="358"/>
      <c r="J115" s="544" t="str">
        <f t="shared" si="4"/>
        <v/>
      </c>
      <c r="K115" s="544" t="str">
        <f t="shared" si="5"/>
        <v/>
      </c>
    </row>
    <row r="116" spans="2:11" x14ac:dyDescent="0.15">
      <c r="B116" s="542">
        <v>108</v>
      </c>
      <c r="C116" s="375"/>
      <c r="D116" s="358"/>
      <c r="E116" s="358"/>
      <c r="F116" s="359"/>
      <c r="G116" s="543" t="str">
        <f t="shared" si="3"/>
        <v/>
      </c>
      <c r="H116" s="361"/>
      <c r="I116" s="358"/>
      <c r="J116" s="544" t="str">
        <f t="shared" si="4"/>
        <v/>
      </c>
      <c r="K116" s="544" t="str">
        <f t="shared" si="5"/>
        <v/>
      </c>
    </row>
    <row r="117" spans="2:11" x14ac:dyDescent="0.15">
      <c r="B117" s="542">
        <v>109</v>
      </c>
      <c r="C117" s="375"/>
      <c r="D117" s="358"/>
      <c r="E117" s="358"/>
      <c r="F117" s="359"/>
      <c r="G117" s="543" t="str">
        <f t="shared" si="3"/>
        <v/>
      </c>
      <c r="H117" s="361"/>
      <c r="I117" s="358"/>
      <c r="J117" s="544" t="str">
        <f t="shared" si="4"/>
        <v/>
      </c>
      <c r="K117" s="544" t="str">
        <f t="shared" si="5"/>
        <v/>
      </c>
    </row>
    <row r="118" spans="2:11" x14ac:dyDescent="0.15">
      <c r="B118" s="542">
        <v>110</v>
      </c>
      <c r="C118" s="375"/>
      <c r="D118" s="358"/>
      <c r="E118" s="358"/>
      <c r="F118" s="359"/>
      <c r="G118" s="543" t="str">
        <f t="shared" si="3"/>
        <v/>
      </c>
      <c r="H118" s="361"/>
      <c r="I118" s="358"/>
      <c r="J118" s="544" t="str">
        <f t="shared" si="4"/>
        <v/>
      </c>
      <c r="K118" s="544" t="str">
        <f t="shared" si="5"/>
        <v/>
      </c>
    </row>
    <row r="119" spans="2:11" x14ac:dyDescent="0.15">
      <c r="B119" s="542">
        <v>111</v>
      </c>
      <c r="C119" s="375"/>
      <c r="D119" s="358"/>
      <c r="E119" s="358"/>
      <c r="F119" s="359"/>
      <c r="G119" s="543" t="str">
        <f t="shared" si="3"/>
        <v/>
      </c>
      <c r="H119" s="361"/>
      <c r="I119" s="358"/>
      <c r="J119" s="544" t="str">
        <f t="shared" si="4"/>
        <v/>
      </c>
      <c r="K119" s="544" t="str">
        <f t="shared" si="5"/>
        <v/>
      </c>
    </row>
    <row r="120" spans="2:11" x14ac:dyDescent="0.15">
      <c r="B120" s="542">
        <v>112</v>
      </c>
      <c r="C120" s="375"/>
      <c r="D120" s="358"/>
      <c r="E120" s="358"/>
      <c r="F120" s="359"/>
      <c r="G120" s="543" t="str">
        <f t="shared" si="3"/>
        <v/>
      </c>
      <c r="H120" s="361"/>
      <c r="I120" s="358"/>
      <c r="J120" s="544" t="str">
        <f t="shared" si="4"/>
        <v/>
      </c>
      <c r="K120" s="544" t="str">
        <f t="shared" si="5"/>
        <v/>
      </c>
    </row>
    <row r="121" spans="2:11" x14ac:dyDescent="0.15">
      <c r="B121" s="542">
        <v>113</v>
      </c>
      <c r="C121" s="375"/>
      <c r="D121" s="358"/>
      <c r="E121" s="358"/>
      <c r="F121" s="359"/>
      <c r="G121" s="543" t="str">
        <f t="shared" si="3"/>
        <v/>
      </c>
      <c r="H121" s="361"/>
      <c r="I121" s="358"/>
      <c r="J121" s="544" t="str">
        <f t="shared" si="4"/>
        <v/>
      </c>
      <c r="K121" s="544" t="str">
        <f t="shared" si="5"/>
        <v/>
      </c>
    </row>
    <row r="122" spans="2:11" x14ac:dyDescent="0.15">
      <c r="B122" s="542">
        <v>114</v>
      </c>
      <c r="C122" s="375"/>
      <c r="D122" s="358"/>
      <c r="E122" s="358"/>
      <c r="F122" s="359"/>
      <c r="G122" s="543" t="str">
        <f t="shared" si="3"/>
        <v/>
      </c>
      <c r="H122" s="361"/>
      <c r="I122" s="358"/>
      <c r="J122" s="544" t="str">
        <f t="shared" si="4"/>
        <v/>
      </c>
      <c r="K122" s="544" t="str">
        <f t="shared" si="5"/>
        <v/>
      </c>
    </row>
    <row r="123" spans="2:11" x14ac:dyDescent="0.15">
      <c r="B123" s="542">
        <v>115</v>
      </c>
      <c r="C123" s="375"/>
      <c r="D123" s="358"/>
      <c r="E123" s="358"/>
      <c r="F123" s="359"/>
      <c r="G123" s="543" t="str">
        <f t="shared" si="3"/>
        <v/>
      </c>
      <c r="H123" s="361"/>
      <c r="I123" s="358"/>
      <c r="J123" s="544" t="str">
        <f t="shared" si="4"/>
        <v/>
      </c>
      <c r="K123" s="544" t="str">
        <f t="shared" si="5"/>
        <v/>
      </c>
    </row>
    <row r="124" spans="2:11" x14ac:dyDescent="0.15">
      <c r="B124" s="542">
        <v>116</v>
      </c>
      <c r="C124" s="375"/>
      <c r="D124" s="358"/>
      <c r="E124" s="358"/>
      <c r="F124" s="359"/>
      <c r="G124" s="543" t="str">
        <f t="shared" si="3"/>
        <v/>
      </c>
      <c r="H124" s="361"/>
      <c r="I124" s="358"/>
      <c r="J124" s="544" t="str">
        <f t="shared" si="4"/>
        <v/>
      </c>
      <c r="K124" s="544" t="str">
        <f t="shared" si="5"/>
        <v/>
      </c>
    </row>
    <row r="125" spans="2:11" x14ac:dyDescent="0.15">
      <c r="B125" s="542">
        <v>117</v>
      </c>
      <c r="C125" s="375"/>
      <c r="D125" s="358"/>
      <c r="E125" s="358"/>
      <c r="F125" s="359"/>
      <c r="G125" s="543" t="str">
        <f t="shared" si="3"/>
        <v/>
      </c>
      <c r="H125" s="361"/>
      <c r="I125" s="358"/>
      <c r="J125" s="544" t="str">
        <f t="shared" si="4"/>
        <v/>
      </c>
      <c r="K125" s="544" t="str">
        <f t="shared" si="5"/>
        <v/>
      </c>
    </row>
    <row r="126" spans="2:11" x14ac:dyDescent="0.15">
      <c r="B126" s="542">
        <v>118</v>
      </c>
      <c r="C126" s="375"/>
      <c r="D126" s="358"/>
      <c r="E126" s="358"/>
      <c r="F126" s="359"/>
      <c r="G126" s="543" t="str">
        <f t="shared" si="3"/>
        <v/>
      </c>
      <c r="H126" s="361"/>
      <c r="I126" s="358"/>
      <c r="J126" s="544" t="str">
        <f t="shared" si="4"/>
        <v/>
      </c>
      <c r="K126" s="544" t="str">
        <f t="shared" si="5"/>
        <v/>
      </c>
    </row>
    <row r="127" spans="2:11" x14ac:dyDescent="0.15">
      <c r="B127" s="542">
        <v>119</v>
      </c>
      <c r="C127" s="375"/>
      <c r="D127" s="358"/>
      <c r="E127" s="358"/>
      <c r="F127" s="359"/>
      <c r="G127" s="543" t="str">
        <f t="shared" si="3"/>
        <v/>
      </c>
      <c r="H127" s="361"/>
      <c r="I127" s="358"/>
      <c r="J127" s="544" t="str">
        <f t="shared" si="4"/>
        <v/>
      </c>
      <c r="K127" s="544" t="str">
        <f t="shared" si="5"/>
        <v/>
      </c>
    </row>
    <row r="128" spans="2:11" x14ac:dyDescent="0.15">
      <c r="B128" s="542">
        <v>120</v>
      </c>
      <c r="C128" s="375"/>
      <c r="D128" s="358"/>
      <c r="E128" s="358"/>
      <c r="F128" s="359"/>
      <c r="G128" s="543" t="str">
        <f t="shared" si="3"/>
        <v/>
      </c>
      <c r="H128" s="361"/>
      <c r="I128" s="358"/>
      <c r="J128" s="544" t="str">
        <f t="shared" si="4"/>
        <v/>
      </c>
      <c r="K128" s="544" t="str">
        <f t="shared" si="5"/>
        <v/>
      </c>
    </row>
    <row r="129" spans="2:11" x14ac:dyDescent="0.15">
      <c r="B129" s="542">
        <v>121</v>
      </c>
      <c r="C129" s="375"/>
      <c r="D129" s="358"/>
      <c r="E129" s="358"/>
      <c r="F129" s="359"/>
      <c r="G129" s="543" t="str">
        <f t="shared" si="3"/>
        <v/>
      </c>
      <c r="H129" s="361"/>
      <c r="I129" s="358"/>
      <c r="J129" s="544" t="str">
        <f t="shared" si="4"/>
        <v/>
      </c>
      <c r="K129" s="544" t="str">
        <f t="shared" si="5"/>
        <v/>
      </c>
    </row>
    <row r="130" spans="2:11" x14ac:dyDescent="0.15">
      <c r="B130" s="542">
        <v>122</v>
      </c>
      <c r="C130" s="375"/>
      <c r="D130" s="358"/>
      <c r="E130" s="358"/>
      <c r="F130" s="359"/>
      <c r="G130" s="543" t="str">
        <f t="shared" si="3"/>
        <v/>
      </c>
      <c r="H130" s="361"/>
      <c r="I130" s="358"/>
      <c r="J130" s="544" t="str">
        <f t="shared" si="4"/>
        <v/>
      </c>
      <c r="K130" s="544" t="str">
        <f t="shared" si="5"/>
        <v/>
      </c>
    </row>
    <row r="131" spans="2:11" x14ac:dyDescent="0.15">
      <c r="B131" s="542">
        <v>123</v>
      </c>
      <c r="C131" s="375"/>
      <c r="D131" s="358"/>
      <c r="E131" s="358"/>
      <c r="F131" s="359"/>
      <c r="G131" s="543" t="str">
        <f t="shared" si="3"/>
        <v/>
      </c>
      <c r="H131" s="361"/>
      <c r="I131" s="358"/>
      <c r="J131" s="544" t="str">
        <f t="shared" si="4"/>
        <v/>
      </c>
      <c r="K131" s="544" t="str">
        <f t="shared" si="5"/>
        <v/>
      </c>
    </row>
    <row r="132" spans="2:11" x14ac:dyDescent="0.15">
      <c r="B132" s="542">
        <v>124</v>
      </c>
      <c r="C132" s="375"/>
      <c r="D132" s="358"/>
      <c r="E132" s="358"/>
      <c r="F132" s="359"/>
      <c r="G132" s="543" t="str">
        <f t="shared" si="3"/>
        <v/>
      </c>
      <c r="H132" s="361"/>
      <c r="I132" s="358"/>
      <c r="J132" s="544" t="str">
        <f t="shared" si="4"/>
        <v/>
      </c>
      <c r="K132" s="544" t="str">
        <f t="shared" si="5"/>
        <v/>
      </c>
    </row>
    <row r="133" spans="2:11" x14ac:dyDescent="0.15">
      <c r="B133" s="542">
        <v>125</v>
      </c>
      <c r="C133" s="375"/>
      <c r="D133" s="358"/>
      <c r="E133" s="358"/>
      <c r="F133" s="359"/>
      <c r="G133" s="543" t="str">
        <f t="shared" si="3"/>
        <v/>
      </c>
      <c r="H133" s="361"/>
      <c r="I133" s="358"/>
      <c r="J133" s="544" t="str">
        <f t="shared" si="4"/>
        <v/>
      </c>
      <c r="K133" s="544" t="str">
        <f t="shared" si="5"/>
        <v/>
      </c>
    </row>
    <row r="134" spans="2:11" x14ac:dyDescent="0.15">
      <c r="B134" s="542">
        <v>126</v>
      </c>
      <c r="C134" s="375"/>
      <c r="D134" s="358"/>
      <c r="E134" s="358"/>
      <c r="F134" s="359"/>
      <c r="G134" s="543" t="str">
        <f t="shared" si="3"/>
        <v/>
      </c>
      <c r="H134" s="361"/>
      <c r="I134" s="358"/>
      <c r="J134" s="544" t="str">
        <f t="shared" si="4"/>
        <v/>
      </c>
      <c r="K134" s="544" t="str">
        <f t="shared" si="5"/>
        <v/>
      </c>
    </row>
    <row r="135" spans="2:11" x14ac:dyDescent="0.15">
      <c r="B135" s="542">
        <v>127</v>
      </c>
      <c r="C135" s="375"/>
      <c r="D135" s="358"/>
      <c r="E135" s="358"/>
      <c r="F135" s="359"/>
      <c r="G135" s="543" t="str">
        <f t="shared" si="3"/>
        <v/>
      </c>
      <c r="H135" s="361"/>
      <c r="I135" s="358"/>
      <c r="J135" s="544" t="str">
        <f t="shared" si="4"/>
        <v/>
      </c>
      <c r="K135" s="544" t="str">
        <f t="shared" si="5"/>
        <v/>
      </c>
    </row>
    <row r="136" spans="2:11" x14ac:dyDescent="0.15">
      <c r="B136" s="542">
        <v>128</v>
      </c>
      <c r="C136" s="375"/>
      <c r="D136" s="358"/>
      <c r="E136" s="358"/>
      <c r="F136" s="359"/>
      <c r="G136" s="543" t="str">
        <f t="shared" si="3"/>
        <v/>
      </c>
      <c r="H136" s="361"/>
      <c r="I136" s="358"/>
      <c r="J136" s="544" t="str">
        <f t="shared" si="4"/>
        <v/>
      </c>
      <c r="K136" s="544" t="str">
        <f t="shared" si="5"/>
        <v/>
      </c>
    </row>
    <row r="137" spans="2:11" x14ac:dyDescent="0.15">
      <c r="B137" s="542">
        <v>129</v>
      </c>
      <c r="C137" s="375"/>
      <c r="D137" s="358"/>
      <c r="E137" s="358"/>
      <c r="F137" s="359"/>
      <c r="G137" s="543" t="str">
        <f t="shared" si="3"/>
        <v/>
      </c>
      <c r="H137" s="361"/>
      <c r="I137" s="358"/>
      <c r="J137" s="544" t="str">
        <f t="shared" si="4"/>
        <v/>
      </c>
      <c r="K137" s="544" t="str">
        <f t="shared" si="5"/>
        <v/>
      </c>
    </row>
    <row r="138" spans="2:11" x14ac:dyDescent="0.15">
      <c r="B138" s="542">
        <v>130</v>
      </c>
      <c r="C138" s="375"/>
      <c r="D138" s="358"/>
      <c r="E138" s="358"/>
      <c r="F138" s="359"/>
      <c r="G138" s="543" t="str">
        <f t="shared" ref="G138:G201" si="6">IF(F138="","",DATEDIF(F138,$K$7,"Y"))</f>
        <v/>
      </c>
      <c r="H138" s="361"/>
      <c r="I138" s="358"/>
      <c r="J138" s="544" t="str">
        <f t="shared" ref="J138:J201" si="7">IF($H138="","",IF($I138="",DATEDIF($H138,$K$7,"m"),DATEDIF($H138,$I138,"M")))</f>
        <v/>
      </c>
      <c r="K138" s="544" t="str">
        <f t="shared" ref="K138:K201" si="8">IF($H138="","",IF($I138="",DATEDIF($H138,$K$7,"Y"),DATEDIF($H138,$I138,"Y")))</f>
        <v/>
      </c>
    </row>
    <row r="139" spans="2:11" x14ac:dyDescent="0.15">
      <c r="B139" s="542">
        <v>131</v>
      </c>
      <c r="C139" s="375"/>
      <c r="D139" s="358"/>
      <c r="E139" s="358"/>
      <c r="F139" s="359"/>
      <c r="G139" s="543" t="str">
        <f t="shared" si="6"/>
        <v/>
      </c>
      <c r="H139" s="361"/>
      <c r="I139" s="358"/>
      <c r="J139" s="544" t="str">
        <f t="shared" si="7"/>
        <v/>
      </c>
      <c r="K139" s="544" t="str">
        <f t="shared" si="8"/>
        <v/>
      </c>
    </row>
    <row r="140" spans="2:11" x14ac:dyDescent="0.15">
      <c r="B140" s="542">
        <v>132</v>
      </c>
      <c r="C140" s="375"/>
      <c r="D140" s="358"/>
      <c r="E140" s="358"/>
      <c r="F140" s="359"/>
      <c r="G140" s="543" t="str">
        <f t="shared" si="6"/>
        <v/>
      </c>
      <c r="H140" s="361"/>
      <c r="I140" s="358"/>
      <c r="J140" s="544" t="str">
        <f t="shared" si="7"/>
        <v/>
      </c>
      <c r="K140" s="544" t="str">
        <f t="shared" si="8"/>
        <v/>
      </c>
    </row>
    <row r="141" spans="2:11" x14ac:dyDescent="0.15">
      <c r="B141" s="542">
        <v>133</v>
      </c>
      <c r="C141" s="375"/>
      <c r="D141" s="358"/>
      <c r="E141" s="358"/>
      <c r="F141" s="359"/>
      <c r="G141" s="543" t="str">
        <f t="shared" si="6"/>
        <v/>
      </c>
      <c r="H141" s="361"/>
      <c r="I141" s="358"/>
      <c r="J141" s="544" t="str">
        <f t="shared" si="7"/>
        <v/>
      </c>
      <c r="K141" s="544" t="str">
        <f t="shared" si="8"/>
        <v/>
      </c>
    </row>
    <row r="142" spans="2:11" x14ac:dyDescent="0.15">
      <c r="B142" s="542">
        <v>134</v>
      </c>
      <c r="C142" s="375"/>
      <c r="D142" s="358"/>
      <c r="E142" s="358"/>
      <c r="F142" s="359"/>
      <c r="G142" s="543" t="str">
        <f t="shared" si="6"/>
        <v/>
      </c>
      <c r="H142" s="361"/>
      <c r="I142" s="358"/>
      <c r="J142" s="544" t="str">
        <f t="shared" si="7"/>
        <v/>
      </c>
      <c r="K142" s="544" t="str">
        <f t="shared" si="8"/>
        <v/>
      </c>
    </row>
    <row r="143" spans="2:11" x14ac:dyDescent="0.15">
      <c r="B143" s="542">
        <v>135</v>
      </c>
      <c r="C143" s="375"/>
      <c r="D143" s="358"/>
      <c r="E143" s="358"/>
      <c r="F143" s="359"/>
      <c r="G143" s="543" t="str">
        <f t="shared" si="6"/>
        <v/>
      </c>
      <c r="H143" s="361"/>
      <c r="I143" s="358"/>
      <c r="J143" s="544" t="str">
        <f t="shared" si="7"/>
        <v/>
      </c>
      <c r="K143" s="544" t="str">
        <f t="shared" si="8"/>
        <v/>
      </c>
    </row>
    <row r="144" spans="2:11" x14ac:dyDescent="0.15">
      <c r="B144" s="542">
        <v>136</v>
      </c>
      <c r="C144" s="375"/>
      <c r="D144" s="358"/>
      <c r="E144" s="358"/>
      <c r="F144" s="359"/>
      <c r="G144" s="543" t="str">
        <f t="shared" si="6"/>
        <v/>
      </c>
      <c r="H144" s="361"/>
      <c r="I144" s="358"/>
      <c r="J144" s="544" t="str">
        <f t="shared" si="7"/>
        <v/>
      </c>
      <c r="K144" s="544" t="str">
        <f t="shared" si="8"/>
        <v/>
      </c>
    </row>
    <row r="145" spans="2:11" x14ac:dyDescent="0.15">
      <c r="B145" s="542">
        <v>137</v>
      </c>
      <c r="C145" s="375"/>
      <c r="D145" s="358"/>
      <c r="E145" s="358"/>
      <c r="F145" s="359"/>
      <c r="G145" s="543" t="str">
        <f t="shared" si="6"/>
        <v/>
      </c>
      <c r="H145" s="361"/>
      <c r="I145" s="358"/>
      <c r="J145" s="544" t="str">
        <f t="shared" si="7"/>
        <v/>
      </c>
      <c r="K145" s="544" t="str">
        <f t="shared" si="8"/>
        <v/>
      </c>
    </row>
    <row r="146" spans="2:11" x14ac:dyDescent="0.15">
      <c r="B146" s="542">
        <v>138</v>
      </c>
      <c r="C146" s="375"/>
      <c r="D146" s="358"/>
      <c r="E146" s="358"/>
      <c r="F146" s="359"/>
      <c r="G146" s="543" t="str">
        <f t="shared" si="6"/>
        <v/>
      </c>
      <c r="H146" s="361"/>
      <c r="I146" s="358"/>
      <c r="J146" s="544" t="str">
        <f t="shared" si="7"/>
        <v/>
      </c>
      <c r="K146" s="544" t="str">
        <f t="shared" si="8"/>
        <v/>
      </c>
    </row>
    <row r="147" spans="2:11" x14ac:dyDescent="0.15">
      <c r="B147" s="542">
        <v>139</v>
      </c>
      <c r="C147" s="375"/>
      <c r="D147" s="358"/>
      <c r="E147" s="358"/>
      <c r="F147" s="359"/>
      <c r="G147" s="543" t="str">
        <f t="shared" si="6"/>
        <v/>
      </c>
      <c r="H147" s="361"/>
      <c r="I147" s="358"/>
      <c r="J147" s="544" t="str">
        <f t="shared" si="7"/>
        <v/>
      </c>
      <c r="K147" s="544" t="str">
        <f t="shared" si="8"/>
        <v/>
      </c>
    </row>
    <row r="148" spans="2:11" x14ac:dyDescent="0.15">
      <c r="B148" s="542">
        <v>140</v>
      </c>
      <c r="C148" s="375"/>
      <c r="D148" s="358"/>
      <c r="E148" s="358"/>
      <c r="F148" s="359"/>
      <c r="G148" s="543" t="str">
        <f t="shared" si="6"/>
        <v/>
      </c>
      <c r="H148" s="361"/>
      <c r="I148" s="358"/>
      <c r="J148" s="544" t="str">
        <f t="shared" si="7"/>
        <v/>
      </c>
      <c r="K148" s="544" t="str">
        <f t="shared" si="8"/>
        <v/>
      </c>
    </row>
    <row r="149" spans="2:11" x14ac:dyDescent="0.15">
      <c r="B149" s="542">
        <v>141</v>
      </c>
      <c r="C149" s="375"/>
      <c r="D149" s="358"/>
      <c r="E149" s="358"/>
      <c r="F149" s="359"/>
      <c r="G149" s="543" t="str">
        <f t="shared" si="6"/>
        <v/>
      </c>
      <c r="H149" s="361"/>
      <c r="I149" s="358"/>
      <c r="J149" s="544" t="str">
        <f t="shared" si="7"/>
        <v/>
      </c>
      <c r="K149" s="544" t="str">
        <f t="shared" si="8"/>
        <v/>
      </c>
    </row>
    <row r="150" spans="2:11" x14ac:dyDescent="0.15">
      <c r="B150" s="542">
        <v>142</v>
      </c>
      <c r="C150" s="375"/>
      <c r="D150" s="358"/>
      <c r="E150" s="358"/>
      <c r="F150" s="359"/>
      <c r="G150" s="543" t="str">
        <f t="shared" si="6"/>
        <v/>
      </c>
      <c r="H150" s="361"/>
      <c r="I150" s="358"/>
      <c r="J150" s="544" t="str">
        <f t="shared" si="7"/>
        <v/>
      </c>
      <c r="K150" s="544" t="str">
        <f t="shared" si="8"/>
        <v/>
      </c>
    </row>
    <row r="151" spans="2:11" x14ac:dyDescent="0.15">
      <c r="B151" s="542">
        <v>143</v>
      </c>
      <c r="C151" s="375"/>
      <c r="D151" s="358"/>
      <c r="E151" s="358"/>
      <c r="F151" s="359"/>
      <c r="G151" s="543" t="str">
        <f t="shared" si="6"/>
        <v/>
      </c>
      <c r="H151" s="361"/>
      <c r="I151" s="358"/>
      <c r="J151" s="544" t="str">
        <f t="shared" si="7"/>
        <v/>
      </c>
      <c r="K151" s="544" t="str">
        <f t="shared" si="8"/>
        <v/>
      </c>
    </row>
    <row r="152" spans="2:11" x14ac:dyDescent="0.15">
      <c r="B152" s="542">
        <v>144</v>
      </c>
      <c r="C152" s="375"/>
      <c r="D152" s="358"/>
      <c r="E152" s="358"/>
      <c r="F152" s="359"/>
      <c r="G152" s="543" t="str">
        <f t="shared" si="6"/>
        <v/>
      </c>
      <c r="H152" s="361"/>
      <c r="I152" s="358"/>
      <c r="J152" s="544" t="str">
        <f t="shared" si="7"/>
        <v/>
      </c>
      <c r="K152" s="544" t="str">
        <f t="shared" si="8"/>
        <v/>
      </c>
    </row>
    <row r="153" spans="2:11" x14ac:dyDescent="0.15">
      <c r="B153" s="542">
        <v>145</v>
      </c>
      <c r="C153" s="375"/>
      <c r="D153" s="358"/>
      <c r="E153" s="358"/>
      <c r="F153" s="359"/>
      <c r="G153" s="543" t="str">
        <f t="shared" si="6"/>
        <v/>
      </c>
      <c r="H153" s="361"/>
      <c r="I153" s="358"/>
      <c r="J153" s="544" t="str">
        <f t="shared" si="7"/>
        <v/>
      </c>
      <c r="K153" s="544" t="str">
        <f t="shared" si="8"/>
        <v/>
      </c>
    </row>
    <row r="154" spans="2:11" x14ac:dyDescent="0.15">
      <c r="B154" s="542">
        <v>146</v>
      </c>
      <c r="C154" s="375"/>
      <c r="D154" s="358"/>
      <c r="E154" s="358"/>
      <c r="F154" s="359"/>
      <c r="G154" s="543" t="str">
        <f t="shared" si="6"/>
        <v/>
      </c>
      <c r="H154" s="361"/>
      <c r="I154" s="358"/>
      <c r="J154" s="544" t="str">
        <f t="shared" si="7"/>
        <v/>
      </c>
      <c r="K154" s="544" t="str">
        <f t="shared" si="8"/>
        <v/>
      </c>
    </row>
    <row r="155" spans="2:11" x14ac:dyDescent="0.15">
      <c r="B155" s="542">
        <v>147</v>
      </c>
      <c r="C155" s="375"/>
      <c r="D155" s="358"/>
      <c r="E155" s="358"/>
      <c r="F155" s="359"/>
      <c r="G155" s="543" t="str">
        <f t="shared" si="6"/>
        <v/>
      </c>
      <c r="H155" s="361"/>
      <c r="I155" s="358"/>
      <c r="J155" s="544" t="str">
        <f t="shared" si="7"/>
        <v/>
      </c>
      <c r="K155" s="544" t="str">
        <f t="shared" si="8"/>
        <v/>
      </c>
    </row>
    <row r="156" spans="2:11" x14ac:dyDescent="0.15">
      <c r="B156" s="542">
        <v>148</v>
      </c>
      <c r="C156" s="375"/>
      <c r="D156" s="358"/>
      <c r="E156" s="358"/>
      <c r="F156" s="359"/>
      <c r="G156" s="543" t="str">
        <f t="shared" si="6"/>
        <v/>
      </c>
      <c r="H156" s="361"/>
      <c r="I156" s="358"/>
      <c r="J156" s="544" t="str">
        <f t="shared" si="7"/>
        <v/>
      </c>
      <c r="K156" s="544" t="str">
        <f t="shared" si="8"/>
        <v/>
      </c>
    </row>
    <row r="157" spans="2:11" x14ac:dyDescent="0.15">
      <c r="B157" s="542">
        <v>149</v>
      </c>
      <c r="C157" s="375"/>
      <c r="D157" s="358"/>
      <c r="E157" s="358"/>
      <c r="F157" s="359"/>
      <c r="G157" s="543" t="str">
        <f t="shared" si="6"/>
        <v/>
      </c>
      <c r="H157" s="361"/>
      <c r="I157" s="358"/>
      <c r="J157" s="544" t="str">
        <f t="shared" si="7"/>
        <v/>
      </c>
      <c r="K157" s="544" t="str">
        <f t="shared" si="8"/>
        <v/>
      </c>
    </row>
    <row r="158" spans="2:11" x14ac:dyDescent="0.15">
      <c r="B158" s="542">
        <v>150</v>
      </c>
      <c r="C158" s="375"/>
      <c r="D158" s="358"/>
      <c r="E158" s="358"/>
      <c r="F158" s="359"/>
      <c r="G158" s="543" t="str">
        <f t="shared" si="6"/>
        <v/>
      </c>
      <c r="H158" s="361"/>
      <c r="I158" s="358"/>
      <c r="J158" s="544" t="str">
        <f t="shared" si="7"/>
        <v/>
      </c>
      <c r="K158" s="544" t="str">
        <f t="shared" si="8"/>
        <v/>
      </c>
    </row>
    <row r="159" spans="2:11" x14ac:dyDescent="0.15">
      <c r="B159" s="542">
        <v>151</v>
      </c>
      <c r="C159" s="375"/>
      <c r="D159" s="358"/>
      <c r="E159" s="358"/>
      <c r="F159" s="359"/>
      <c r="G159" s="543" t="str">
        <f t="shared" si="6"/>
        <v/>
      </c>
      <c r="H159" s="361"/>
      <c r="I159" s="358"/>
      <c r="J159" s="544" t="str">
        <f t="shared" si="7"/>
        <v/>
      </c>
      <c r="K159" s="544" t="str">
        <f t="shared" si="8"/>
        <v/>
      </c>
    </row>
    <row r="160" spans="2:11" x14ac:dyDescent="0.15">
      <c r="B160" s="542">
        <v>152</v>
      </c>
      <c r="C160" s="375"/>
      <c r="D160" s="358"/>
      <c r="E160" s="358"/>
      <c r="F160" s="359"/>
      <c r="G160" s="543" t="str">
        <f t="shared" si="6"/>
        <v/>
      </c>
      <c r="H160" s="361"/>
      <c r="I160" s="358"/>
      <c r="J160" s="544" t="str">
        <f t="shared" si="7"/>
        <v/>
      </c>
      <c r="K160" s="544" t="str">
        <f t="shared" si="8"/>
        <v/>
      </c>
    </row>
    <row r="161" spans="2:11" x14ac:dyDescent="0.15">
      <c r="B161" s="542">
        <v>153</v>
      </c>
      <c r="C161" s="375"/>
      <c r="D161" s="358"/>
      <c r="E161" s="358"/>
      <c r="F161" s="359"/>
      <c r="G161" s="543" t="str">
        <f t="shared" si="6"/>
        <v/>
      </c>
      <c r="H161" s="361"/>
      <c r="I161" s="358"/>
      <c r="J161" s="544" t="str">
        <f t="shared" si="7"/>
        <v/>
      </c>
      <c r="K161" s="544" t="str">
        <f t="shared" si="8"/>
        <v/>
      </c>
    </row>
    <row r="162" spans="2:11" x14ac:dyDescent="0.15">
      <c r="B162" s="542">
        <v>154</v>
      </c>
      <c r="C162" s="375"/>
      <c r="D162" s="358"/>
      <c r="E162" s="358"/>
      <c r="F162" s="359"/>
      <c r="G162" s="543" t="str">
        <f t="shared" si="6"/>
        <v/>
      </c>
      <c r="H162" s="361"/>
      <c r="I162" s="358"/>
      <c r="J162" s="544" t="str">
        <f t="shared" si="7"/>
        <v/>
      </c>
      <c r="K162" s="544" t="str">
        <f t="shared" si="8"/>
        <v/>
      </c>
    </row>
    <row r="163" spans="2:11" x14ac:dyDescent="0.15">
      <c r="B163" s="542">
        <v>155</v>
      </c>
      <c r="C163" s="375"/>
      <c r="D163" s="358"/>
      <c r="E163" s="358"/>
      <c r="F163" s="359"/>
      <c r="G163" s="543" t="str">
        <f t="shared" si="6"/>
        <v/>
      </c>
      <c r="H163" s="361"/>
      <c r="I163" s="358"/>
      <c r="J163" s="544" t="str">
        <f t="shared" si="7"/>
        <v/>
      </c>
      <c r="K163" s="544" t="str">
        <f t="shared" si="8"/>
        <v/>
      </c>
    </row>
    <row r="164" spans="2:11" x14ac:dyDescent="0.15">
      <c r="B164" s="542">
        <v>156</v>
      </c>
      <c r="C164" s="375"/>
      <c r="D164" s="358"/>
      <c r="E164" s="358"/>
      <c r="F164" s="359"/>
      <c r="G164" s="543" t="str">
        <f t="shared" si="6"/>
        <v/>
      </c>
      <c r="H164" s="361"/>
      <c r="I164" s="358"/>
      <c r="J164" s="544" t="str">
        <f t="shared" si="7"/>
        <v/>
      </c>
      <c r="K164" s="544" t="str">
        <f t="shared" si="8"/>
        <v/>
      </c>
    </row>
    <row r="165" spans="2:11" x14ac:dyDescent="0.15">
      <c r="B165" s="542">
        <v>157</v>
      </c>
      <c r="C165" s="375"/>
      <c r="D165" s="358"/>
      <c r="E165" s="358"/>
      <c r="F165" s="359"/>
      <c r="G165" s="543" t="str">
        <f t="shared" si="6"/>
        <v/>
      </c>
      <c r="H165" s="361"/>
      <c r="I165" s="358"/>
      <c r="J165" s="544" t="str">
        <f t="shared" si="7"/>
        <v/>
      </c>
      <c r="K165" s="544" t="str">
        <f t="shared" si="8"/>
        <v/>
      </c>
    </row>
    <row r="166" spans="2:11" x14ac:dyDescent="0.15">
      <c r="B166" s="542">
        <v>158</v>
      </c>
      <c r="C166" s="375"/>
      <c r="D166" s="358"/>
      <c r="E166" s="358"/>
      <c r="F166" s="359"/>
      <c r="G166" s="543" t="str">
        <f t="shared" si="6"/>
        <v/>
      </c>
      <c r="H166" s="361"/>
      <c r="I166" s="358"/>
      <c r="J166" s="544" t="str">
        <f t="shared" si="7"/>
        <v/>
      </c>
      <c r="K166" s="544" t="str">
        <f t="shared" si="8"/>
        <v/>
      </c>
    </row>
    <row r="167" spans="2:11" x14ac:dyDescent="0.15">
      <c r="B167" s="542">
        <v>159</v>
      </c>
      <c r="C167" s="375"/>
      <c r="D167" s="358"/>
      <c r="E167" s="358"/>
      <c r="F167" s="359"/>
      <c r="G167" s="543" t="str">
        <f t="shared" si="6"/>
        <v/>
      </c>
      <c r="H167" s="361"/>
      <c r="I167" s="358"/>
      <c r="J167" s="544" t="str">
        <f t="shared" si="7"/>
        <v/>
      </c>
      <c r="K167" s="544" t="str">
        <f t="shared" si="8"/>
        <v/>
      </c>
    </row>
    <row r="168" spans="2:11" x14ac:dyDescent="0.15">
      <c r="B168" s="542">
        <v>160</v>
      </c>
      <c r="C168" s="375"/>
      <c r="D168" s="358"/>
      <c r="E168" s="358"/>
      <c r="F168" s="359"/>
      <c r="G168" s="543" t="str">
        <f t="shared" si="6"/>
        <v/>
      </c>
      <c r="H168" s="361"/>
      <c r="I168" s="358"/>
      <c r="J168" s="544" t="str">
        <f t="shared" si="7"/>
        <v/>
      </c>
      <c r="K168" s="544" t="str">
        <f t="shared" si="8"/>
        <v/>
      </c>
    </row>
    <row r="169" spans="2:11" x14ac:dyDescent="0.15">
      <c r="B169" s="542">
        <v>161</v>
      </c>
      <c r="C169" s="375"/>
      <c r="D169" s="358"/>
      <c r="E169" s="358"/>
      <c r="F169" s="359"/>
      <c r="G169" s="543" t="str">
        <f t="shared" si="6"/>
        <v/>
      </c>
      <c r="H169" s="361"/>
      <c r="I169" s="358"/>
      <c r="J169" s="544" t="str">
        <f t="shared" si="7"/>
        <v/>
      </c>
      <c r="K169" s="544" t="str">
        <f t="shared" si="8"/>
        <v/>
      </c>
    </row>
    <row r="170" spans="2:11" x14ac:dyDescent="0.15">
      <c r="B170" s="542">
        <v>162</v>
      </c>
      <c r="C170" s="375"/>
      <c r="D170" s="358"/>
      <c r="E170" s="358"/>
      <c r="F170" s="359"/>
      <c r="G170" s="543" t="str">
        <f t="shared" si="6"/>
        <v/>
      </c>
      <c r="H170" s="361"/>
      <c r="I170" s="358"/>
      <c r="J170" s="544" t="str">
        <f t="shared" si="7"/>
        <v/>
      </c>
      <c r="K170" s="544" t="str">
        <f t="shared" si="8"/>
        <v/>
      </c>
    </row>
    <row r="171" spans="2:11" x14ac:dyDescent="0.15">
      <c r="B171" s="542">
        <v>163</v>
      </c>
      <c r="C171" s="375"/>
      <c r="D171" s="358"/>
      <c r="E171" s="358"/>
      <c r="F171" s="359"/>
      <c r="G171" s="543" t="str">
        <f t="shared" si="6"/>
        <v/>
      </c>
      <c r="H171" s="361"/>
      <c r="I171" s="358"/>
      <c r="J171" s="544" t="str">
        <f t="shared" si="7"/>
        <v/>
      </c>
      <c r="K171" s="544" t="str">
        <f t="shared" si="8"/>
        <v/>
      </c>
    </row>
    <row r="172" spans="2:11" x14ac:dyDescent="0.15">
      <c r="B172" s="542">
        <v>164</v>
      </c>
      <c r="C172" s="375"/>
      <c r="D172" s="358"/>
      <c r="E172" s="358"/>
      <c r="F172" s="359"/>
      <c r="G172" s="543" t="str">
        <f t="shared" si="6"/>
        <v/>
      </c>
      <c r="H172" s="361"/>
      <c r="I172" s="358"/>
      <c r="J172" s="544" t="str">
        <f t="shared" si="7"/>
        <v/>
      </c>
      <c r="K172" s="544" t="str">
        <f t="shared" si="8"/>
        <v/>
      </c>
    </row>
    <row r="173" spans="2:11" x14ac:dyDescent="0.15">
      <c r="B173" s="542">
        <v>165</v>
      </c>
      <c r="C173" s="375"/>
      <c r="D173" s="358"/>
      <c r="E173" s="358"/>
      <c r="F173" s="359"/>
      <c r="G173" s="543" t="str">
        <f t="shared" si="6"/>
        <v/>
      </c>
      <c r="H173" s="361"/>
      <c r="I173" s="358"/>
      <c r="J173" s="544" t="str">
        <f t="shared" si="7"/>
        <v/>
      </c>
      <c r="K173" s="544" t="str">
        <f t="shared" si="8"/>
        <v/>
      </c>
    </row>
    <row r="174" spans="2:11" x14ac:dyDescent="0.15">
      <c r="B174" s="542">
        <v>166</v>
      </c>
      <c r="C174" s="375"/>
      <c r="D174" s="358"/>
      <c r="E174" s="358"/>
      <c r="F174" s="359"/>
      <c r="G174" s="543" t="str">
        <f t="shared" si="6"/>
        <v/>
      </c>
      <c r="H174" s="361"/>
      <c r="I174" s="358"/>
      <c r="J174" s="544" t="str">
        <f t="shared" si="7"/>
        <v/>
      </c>
      <c r="K174" s="544" t="str">
        <f t="shared" si="8"/>
        <v/>
      </c>
    </row>
    <row r="175" spans="2:11" x14ac:dyDescent="0.15">
      <c r="B175" s="542">
        <v>167</v>
      </c>
      <c r="C175" s="375"/>
      <c r="D175" s="358"/>
      <c r="E175" s="358"/>
      <c r="F175" s="359"/>
      <c r="G175" s="543" t="str">
        <f t="shared" si="6"/>
        <v/>
      </c>
      <c r="H175" s="361"/>
      <c r="I175" s="358"/>
      <c r="J175" s="544" t="str">
        <f t="shared" si="7"/>
        <v/>
      </c>
      <c r="K175" s="544" t="str">
        <f t="shared" si="8"/>
        <v/>
      </c>
    </row>
    <row r="176" spans="2:11" x14ac:dyDescent="0.15">
      <c r="B176" s="542">
        <v>168</v>
      </c>
      <c r="C176" s="375"/>
      <c r="D176" s="358"/>
      <c r="E176" s="358"/>
      <c r="F176" s="359"/>
      <c r="G176" s="543" t="str">
        <f t="shared" si="6"/>
        <v/>
      </c>
      <c r="H176" s="361"/>
      <c r="I176" s="358"/>
      <c r="J176" s="544" t="str">
        <f t="shared" si="7"/>
        <v/>
      </c>
      <c r="K176" s="544" t="str">
        <f t="shared" si="8"/>
        <v/>
      </c>
    </row>
    <row r="177" spans="2:11" x14ac:dyDescent="0.15">
      <c r="B177" s="542">
        <v>169</v>
      </c>
      <c r="C177" s="375"/>
      <c r="D177" s="358"/>
      <c r="E177" s="358"/>
      <c r="F177" s="359"/>
      <c r="G177" s="543" t="str">
        <f t="shared" si="6"/>
        <v/>
      </c>
      <c r="H177" s="361"/>
      <c r="I177" s="358"/>
      <c r="J177" s="544" t="str">
        <f t="shared" si="7"/>
        <v/>
      </c>
      <c r="K177" s="544" t="str">
        <f t="shared" si="8"/>
        <v/>
      </c>
    </row>
    <row r="178" spans="2:11" x14ac:dyDescent="0.15">
      <c r="B178" s="542">
        <v>170</v>
      </c>
      <c r="C178" s="375"/>
      <c r="D178" s="358"/>
      <c r="E178" s="358"/>
      <c r="F178" s="359"/>
      <c r="G178" s="543" t="str">
        <f t="shared" si="6"/>
        <v/>
      </c>
      <c r="H178" s="361"/>
      <c r="I178" s="358"/>
      <c r="J178" s="544" t="str">
        <f t="shared" si="7"/>
        <v/>
      </c>
      <c r="K178" s="544" t="str">
        <f t="shared" si="8"/>
        <v/>
      </c>
    </row>
    <row r="179" spans="2:11" x14ac:dyDescent="0.15">
      <c r="B179" s="542">
        <v>171</v>
      </c>
      <c r="C179" s="375"/>
      <c r="D179" s="358"/>
      <c r="E179" s="358"/>
      <c r="F179" s="359"/>
      <c r="G179" s="543" t="str">
        <f t="shared" si="6"/>
        <v/>
      </c>
      <c r="H179" s="361"/>
      <c r="I179" s="358"/>
      <c r="J179" s="544" t="str">
        <f t="shared" si="7"/>
        <v/>
      </c>
      <c r="K179" s="544" t="str">
        <f t="shared" si="8"/>
        <v/>
      </c>
    </row>
    <row r="180" spans="2:11" x14ac:dyDescent="0.15">
      <c r="B180" s="542">
        <v>172</v>
      </c>
      <c r="C180" s="375"/>
      <c r="D180" s="358"/>
      <c r="E180" s="358"/>
      <c r="F180" s="359"/>
      <c r="G180" s="543" t="str">
        <f t="shared" si="6"/>
        <v/>
      </c>
      <c r="H180" s="361"/>
      <c r="I180" s="358"/>
      <c r="J180" s="544" t="str">
        <f t="shared" si="7"/>
        <v/>
      </c>
      <c r="K180" s="544" t="str">
        <f t="shared" si="8"/>
        <v/>
      </c>
    </row>
    <row r="181" spans="2:11" x14ac:dyDescent="0.15">
      <c r="B181" s="542">
        <v>173</v>
      </c>
      <c r="C181" s="375"/>
      <c r="D181" s="358"/>
      <c r="E181" s="358"/>
      <c r="F181" s="359"/>
      <c r="G181" s="543" t="str">
        <f t="shared" si="6"/>
        <v/>
      </c>
      <c r="H181" s="361"/>
      <c r="I181" s="358"/>
      <c r="J181" s="544" t="str">
        <f t="shared" si="7"/>
        <v/>
      </c>
      <c r="K181" s="544" t="str">
        <f t="shared" si="8"/>
        <v/>
      </c>
    </row>
    <row r="182" spans="2:11" x14ac:dyDescent="0.15">
      <c r="B182" s="542">
        <v>174</v>
      </c>
      <c r="C182" s="375"/>
      <c r="D182" s="358"/>
      <c r="E182" s="358"/>
      <c r="F182" s="359"/>
      <c r="G182" s="543" t="str">
        <f t="shared" si="6"/>
        <v/>
      </c>
      <c r="H182" s="361"/>
      <c r="I182" s="358"/>
      <c r="J182" s="544" t="str">
        <f t="shared" si="7"/>
        <v/>
      </c>
      <c r="K182" s="544" t="str">
        <f t="shared" si="8"/>
        <v/>
      </c>
    </row>
    <row r="183" spans="2:11" x14ac:dyDescent="0.15">
      <c r="B183" s="542">
        <v>175</v>
      </c>
      <c r="C183" s="375"/>
      <c r="D183" s="358"/>
      <c r="E183" s="358"/>
      <c r="F183" s="359"/>
      <c r="G183" s="543" t="str">
        <f t="shared" si="6"/>
        <v/>
      </c>
      <c r="H183" s="361"/>
      <c r="I183" s="358"/>
      <c r="J183" s="544" t="str">
        <f t="shared" si="7"/>
        <v/>
      </c>
      <c r="K183" s="544" t="str">
        <f t="shared" si="8"/>
        <v/>
      </c>
    </row>
    <row r="184" spans="2:11" x14ac:dyDescent="0.15">
      <c r="B184" s="542">
        <v>176</v>
      </c>
      <c r="C184" s="375"/>
      <c r="D184" s="358"/>
      <c r="E184" s="358"/>
      <c r="F184" s="359"/>
      <c r="G184" s="543" t="str">
        <f t="shared" si="6"/>
        <v/>
      </c>
      <c r="H184" s="361"/>
      <c r="I184" s="358"/>
      <c r="J184" s="544" t="str">
        <f t="shared" si="7"/>
        <v/>
      </c>
      <c r="K184" s="544" t="str">
        <f t="shared" si="8"/>
        <v/>
      </c>
    </row>
    <row r="185" spans="2:11" x14ac:dyDescent="0.15">
      <c r="B185" s="542">
        <v>177</v>
      </c>
      <c r="C185" s="375"/>
      <c r="D185" s="358"/>
      <c r="E185" s="358"/>
      <c r="F185" s="359"/>
      <c r="G185" s="543" t="str">
        <f t="shared" si="6"/>
        <v/>
      </c>
      <c r="H185" s="361"/>
      <c r="I185" s="358"/>
      <c r="J185" s="544" t="str">
        <f t="shared" si="7"/>
        <v/>
      </c>
      <c r="K185" s="544" t="str">
        <f t="shared" si="8"/>
        <v/>
      </c>
    </row>
    <row r="186" spans="2:11" x14ac:dyDescent="0.15">
      <c r="B186" s="542">
        <v>178</v>
      </c>
      <c r="C186" s="375"/>
      <c r="D186" s="358"/>
      <c r="E186" s="358"/>
      <c r="F186" s="359"/>
      <c r="G186" s="543" t="str">
        <f t="shared" si="6"/>
        <v/>
      </c>
      <c r="H186" s="361"/>
      <c r="I186" s="358"/>
      <c r="J186" s="544" t="str">
        <f t="shared" si="7"/>
        <v/>
      </c>
      <c r="K186" s="544" t="str">
        <f t="shared" si="8"/>
        <v/>
      </c>
    </row>
    <row r="187" spans="2:11" x14ac:dyDescent="0.15">
      <c r="B187" s="542">
        <v>179</v>
      </c>
      <c r="C187" s="375"/>
      <c r="D187" s="358"/>
      <c r="E187" s="358"/>
      <c r="F187" s="359"/>
      <c r="G187" s="543" t="str">
        <f t="shared" si="6"/>
        <v/>
      </c>
      <c r="H187" s="361"/>
      <c r="I187" s="358"/>
      <c r="J187" s="544" t="str">
        <f t="shared" si="7"/>
        <v/>
      </c>
      <c r="K187" s="544" t="str">
        <f t="shared" si="8"/>
        <v/>
      </c>
    </row>
    <row r="188" spans="2:11" x14ac:dyDescent="0.15">
      <c r="B188" s="542">
        <v>180</v>
      </c>
      <c r="C188" s="375"/>
      <c r="D188" s="358"/>
      <c r="E188" s="358"/>
      <c r="F188" s="359"/>
      <c r="G188" s="543" t="str">
        <f t="shared" si="6"/>
        <v/>
      </c>
      <c r="H188" s="361"/>
      <c r="I188" s="358"/>
      <c r="J188" s="544" t="str">
        <f t="shared" si="7"/>
        <v/>
      </c>
      <c r="K188" s="544" t="str">
        <f t="shared" si="8"/>
        <v/>
      </c>
    </row>
    <row r="189" spans="2:11" x14ac:dyDescent="0.15">
      <c r="B189" s="542">
        <v>181</v>
      </c>
      <c r="C189" s="375"/>
      <c r="D189" s="358"/>
      <c r="E189" s="358"/>
      <c r="F189" s="359"/>
      <c r="G189" s="543" t="str">
        <f t="shared" si="6"/>
        <v/>
      </c>
      <c r="H189" s="361"/>
      <c r="I189" s="358"/>
      <c r="J189" s="544" t="str">
        <f t="shared" si="7"/>
        <v/>
      </c>
      <c r="K189" s="544" t="str">
        <f t="shared" si="8"/>
        <v/>
      </c>
    </row>
    <row r="190" spans="2:11" x14ac:dyDescent="0.15">
      <c r="B190" s="542">
        <v>182</v>
      </c>
      <c r="C190" s="375"/>
      <c r="D190" s="358"/>
      <c r="E190" s="358"/>
      <c r="F190" s="359"/>
      <c r="G190" s="543" t="str">
        <f t="shared" si="6"/>
        <v/>
      </c>
      <c r="H190" s="361"/>
      <c r="I190" s="358"/>
      <c r="J190" s="544" t="str">
        <f t="shared" si="7"/>
        <v/>
      </c>
      <c r="K190" s="544" t="str">
        <f t="shared" si="8"/>
        <v/>
      </c>
    </row>
    <row r="191" spans="2:11" x14ac:dyDescent="0.15">
      <c r="B191" s="542">
        <v>183</v>
      </c>
      <c r="C191" s="375"/>
      <c r="D191" s="358"/>
      <c r="E191" s="358"/>
      <c r="F191" s="359"/>
      <c r="G191" s="543" t="str">
        <f t="shared" si="6"/>
        <v/>
      </c>
      <c r="H191" s="361"/>
      <c r="I191" s="358"/>
      <c r="J191" s="544" t="str">
        <f t="shared" si="7"/>
        <v/>
      </c>
      <c r="K191" s="544" t="str">
        <f t="shared" si="8"/>
        <v/>
      </c>
    </row>
    <row r="192" spans="2:11" x14ac:dyDescent="0.15">
      <c r="B192" s="542">
        <v>184</v>
      </c>
      <c r="C192" s="375"/>
      <c r="D192" s="358"/>
      <c r="E192" s="358"/>
      <c r="F192" s="359"/>
      <c r="G192" s="543" t="str">
        <f t="shared" si="6"/>
        <v/>
      </c>
      <c r="H192" s="361"/>
      <c r="I192" s="358"/>
      <c r="J192" s="544" t="str">
        <f t="shared" si="7"/>
        <v/>
      </c>
      <c r="K192" s="544" t="str">
        <f t="shared" si="8"/>
        <v/>
      </c>
    </row>
    <row r="193" spans="2:11" x14ac:dyDescent="0.15">
      <c r="B193" s="542">
        <v>185</v>
      </c>
      <c r="C193" s="375"/>
      <c r="D193" s="358"/>
      <c r="E193" s="358"/>
      <c r="F193" s="359"/>
      <c r="G193" s="543" t="str">
        <f t="shared" si="6"/>
        <v/>
      </c>
      <c r="H193" s="361"/>
      <c r="I193" s="358"/>
      <c r="J193" s="544" t="str">
        <f t="shared" si="7"/>
        <v/>
      </c>
      <c r="K193" s="544" t="str">
        <f t="shared" si="8"/>
        <v/>
      </c>
    </row>
    <row r="194" spans="2:11" x14ac:dyDescent="0.15">
      <c r="B194" s="542">
        <v>186</v>
      </c>
      <c r="C194" s="375"/>
      <c r="D194" s="358"/>
      <c r="E194" s="358"/>
      <c r="F194" s="359"/>
      <c r="G194" s="543" t="str">
        <f t="shared" si="6"/>
        <v/>
      </c>
      <c r="H194" s="361"/>
      <c r="I194" s="358"/>
      <c r="J194" s="544" t="str">
        <f t="shared" si="7"/>
        <v/>
      </c>
      <c r="K194" s="544" t="str">
        <f t="shared" si="8"/>
        <v/>
      </c>
    </row>
    <row r="195" spans="2:11" x14ac:dyDescent="0.15">
      <c r="B195" s="542">
        <v>187</v>
      </c>
      <c r="C195" s="375"/>
      <c r="D195" s="358"/>
      <c r="E195" s="358"/>
      <c r="F195" s="359"/>
      <c r="G195" s="543" t="str">
        <f t="shared" si="6"/>
        <v/>
      </c>
      <c r="H195" s="361"/>
      <c r="I195" s="358"/>
      <c r="J195" s="544" t="str">
        <f t="shared" si="7"/>
        <v/>
      </c>
      <c r="K195" s="544" t="str">
        <f t="shared" si="8"/>
        <v/>
      </c>
    </row>
    <row r="196" spans="2:11" x14ac:dyDescent="0.15">
      <c r="B196" s="542">
        <v>188</v>
      </c>
      <c r="C196" s="375"/>
      <c r="D196" s="358"/>
      <c r="E196" s="358"/>
      <c r="F196" s="359"/>
      <c r="G196" s="543" t="str">
        <f t="shared" si="6"/>
        <v/>
      </c>
      <c r="H196" s="361"/>
      <c r="I196" s="358"/>
      <c r="J196" s="544" t="str">
        <f t="shared" si="7"/>
        <v/>
      </c>
      <c r="K196" s="544" t="str">
        <f t="shared" si="8"/>
        <v/>
      </c>
    </row>
    <row r="197" spans="2:11" x14ac:dyDescent="0.15">
      <c r="B197" s="542">
        <v>189</v>
      </c>
      <c r="C197" s="375"/>
      <c r="D197" s="358"/>
      <c r="E197" s="358"/>
      <c r="F197" s="359"/>
      <c r="G197" s="543" t="str">
        <f t="shared" si="6"/>
        <v/>
      </c>
      <c r="H197" s="361"/>
      <c r="I197" s="358"/>
      <c r="J197" s="544" t="str">
        <f t="shared" si="7"/>
        <v/>
      </c>
      <c r="K197" s="544" t="str">
        <f t="shared" si="8"/>
        <v/>
      </c>
    </row>
    <row r="198" spans="2:11" x14ac:dyDescent="0.15">
      <c r="B198" s="542">
        <v>190</v>
      </c>
      <c r="C198" s="375"/>
      <c r="D198" s="358"/>
      <c r="E198" s="358"/>
      <c r="F198" s="359"/>
      <c r="G198" s="543" t="str">
        <f t="shared" si="6"/>
        <v/>
      </c>
      <c r="H198" s="361"/>
      <c r="I198" s="358"/>
      <c r="J198" s="544" t="str">
        <f t="shared" si="7"/>
        <v/>
      </c>
      <c r="K198" s="544" t="str">
        <f t="shared" si="8"/>
        <v/>
      </c>
    </row>
    <row r="199" spans="2:11" x14ac:dyDescent="0.15">
      <c r="B199" s="542">
        <v>191</v>
      </c>
      <c r="C199" s="375"/>
      <c r="D199" s="358"/>
      <c r="E199" s="358"/>
      <c r="F199" s="359"/>
      <c r="G199" s="543" t="str">
        <f t="shared" si="6"/>
        <v/>
      </c>
      <c r="H199" s="361"/>
      <c r="I199" s="358"/>
      <c r="J199" s="544" t="str">
        <f t="shared" si="7"/>
        <v/>
      </c>
      <c r="K199" s="544" t="str">
        <f t="shared" si="8"/>
        <v/>
      </c>
    </row>
    <row r="200" spans="2:11" x14ac:dyDescent="0.15">
      <c r="B200" s="542">
        <v>192</v>
      </c>
      <c r="C200" s="375"/>
      <c r="D200" s="358"/>
      <c r="E200" s="358"/>
      <c r="F200" s="359"/>
      <c r="G200" s="543" t="str">
        <f t="shared" si="6"/>
        <v/>
      </c>
      <c r="H200" s="361"/>
      <c r="I200" s="358"/>
      <c r="J200" s="544" t="str">
        <f t="shared" si="7"/>
        <v/>
      </c>
      <c r="K200" s="544" t="str">
        <f t="shared" si="8"/>
        <v/>
      </c>
    </row>
    <row r="201" spans="2:11" x14ac:dyDescent="0.15">
      <c r="B201" s="542">
        <v>193</v>
      </c>
      <c r="C201" s="375"/>
      <c r="D201" s="358"/>
      <c r="E201" s="358"/>
      <c r="F201" s="359"/>
      <c r="G201" s="543" t="str">
        <f t="shared" si="6"/>
        <v/>
      </c>
      <c r="H201" s="361"/>
      <c r="I201" s="358"/>
      <c r="J201" s="544" t="str">
        <f t="shared" si="7"/>
        <v/>
      </c>
      <c r="K201" s="544" t="str">
        <f t="shared" si="8"/>
        <v/>
      </c>
    </row>
    <row r="202" spans="2:11" x14ac:dyDescent="0.15">
      <c r="B202" s="542">
        <v>194</v>
      </c>
      <c r="C202" s="375"/>
      <c r="D202" s="358"/>
      <c r="E202" s="358"/>
      <c r="F202" s="359"/>
      <c r="G202" s="543" t="str">
        <f t="shared" ref="G202:G208" si="9">IF(F202="","",DATEDIF(F202,$K$7,"Y"))</f>
        <v/>
      </c>
      <c r="H202" s="361"/>
      <c r="I202" s="358"/>
      <c r="J202" s="544" t="str">
        <f t="shared" ref="J202:J208" si="10">IF($H202="","",IF($I202="",DATEDIF($H202,$K$7,"m"),DATEDIF($H202,$I202,"M")))</f>
        <v/>
      </c>
      <c r="K202" s="544" t="str">
        <f t="shared" ref="K202:K208" si="11">IF($H202="","",IF($I202="",DATEDIF($H202,$K$7,"Y"),DATEDIF($H202,$I202,"Y")))</f>
        <v/>
      </c>
    </row>
    <row r="203" spans="2:11" x14ac:dyDescent="0.15">
      <c r="B203" s="542">
        <v>195</v>
      </c>
      <c r="C203" s="375"/>
      <c r="D203" s="358"/>
      <c r="E203" s="358"/>
      <c r="F203" s="359"/>
      <c r="G203" s="543" t="str">
        <f t="shared" si="9"/>
        <v/>
      </c>
      <c r="H203" s="361"/>
      <c r="I203" s="358"/>
      <c r="J203" s="544" t="str">
        <f t="shared" si="10"/>
        <v/>
      </c>
      <c r="K203" s="544" t="str">
        <f t="shared" si="11"/>
        <v/>
      </c>
    </row>
    <row r="204" spans="2:11" x14ac:dyDescent="0.15">
      <c r="B204" s="542">
        <v>196</v>
      </c>
      <c r="C204" s="375"/>
      <c r="D204" s="358"/>
      <c r="E204" s="358"/>
      <c r="F204" s="359"/>
      <c r="G204" s="543" t="str">
        <f t="shared" si="9"/>
        <v/>
      </c>
      <c r="H204" s="361"/>
      <c r="I204" s="358"/>
      <c r="J204" s="544" t="str">
        <f t="shared" si="10"/>
        <v/>
      </c>
      <c r="K204" s="544" t="str">
        <f t="shared" si="11"/>
        <v/>
      </c>
    </row>
    <row r="205" spans="2:11" x14ac:dyDescent="0.15">
      <c r="B205" s="542">
        <v>197</v>
      </c>
      <c r="C205" s="375"/>
      <c r="D205" s="358"/>
      <c r="E205" s="358"/>
      <c r="F205" s="359"/>
      <c r="G205" s="543" t="str">
        <f t="shared" si="9"/>
        <v/>
      </c>
      <c r="H205" s="361"/>
      <c r="I205" s="358"/>
      <c r="J205" s="544" t="str">
        <f t="shared" si="10"/>
        <v/>
      </c>
      <c r="K205" s="544" t="str">
        <f t="shared" si="11"/>
        <v/>
      </c>
    </row>
    <row r="206" spans="2:11" x14ac:dyDescent="0.15">
      <c r="B206" s="542">
        <v>198</v>
      </c>
      <c r="C206" s="375"/>
      <c r="D206" s="358"/>
      <c r="E206" s="358"/>
      <c r="F206" s="359"/>
      <c r="G206" s="543" t="str">
        <f t="shared" si="9"/>
        <v/>
      </c>
      <c r="H206" s="361"/>
      <c r="I206" s="358"/>
      <c r="J206" s="544" t="str">
        <f t="shared" si="10"/>
        <v/>
      </c>
      <c r="K206" s="544" t="str">
        <f t="shared" si="11"/>
        <v/>
      </c>
    </row>
    <row r="207" spans="2:11" x14ac:dyDescent="0.15">
      <c r="B207" s="542">
        <v>199</v>
      </c>
      <c r="C207" s="375"/>
      <c r="D207" s="358"/>
      <c r="E207" s="358"/>
      <c r="F207" s="359"/>
      <c r="G207" s="543" t="str">
        <f t="shared" si="9"/>
        <v/>
      </c>
      <c r="H207" s="361"/>
      <c r="I207" s="358"/>
      <c r="J207" s="544" t="str">
        <f t="shared" si="10"/>
        <v/>
      </c>
      <c r="K207" s="544" t="str">
        <f t="shared" si="11"/>
        <v/>
      </c>
    </row>
    <row r="208" spans="2:11" x14ac:dyDescent="0.15">
      <c r="B208" s="542">
        <v>200</v>
      </c>
      <c r="C208" s="375"/>
      <c r="D208" s="358"/>
      <c r="E208" s="358"/>
      <c r="F208" s="359"/>
      <c r="G208" s="543" t="str">
        <f t="shared" si="9"/>
        <v/>
      </c>
      <c r="H208" s="361"/>
      <c r="I208" s="358"/>
      <c r="J208" s="544" t="str">
        <f t="shared" si="10"/>
        <v/>
      </c>
      <c r="K208" s="544" t="str">
        <f t="shared" si="11"/>
        <v/>
      </c>
    </row>
  </sheetData>
  <sheetProtection algorithmName="SHA-512" hashValue="NWPRNQKv5PR2Z1gUxssqYLv/pAJDXnQ1poCNnwsCeuYessmVGEjZD4iPsiAwMOgSa9250lKv4BOgT7bkAa5b2A==" saltValue="Pschjc+Zi9etn3qz99ao1A==" spinCount="100000" sheet="1" objects="1" scenarios="1"/>
  <mergeCells count="4">
    <mergeCell ref="A2:F2"/>
    <mergeCell ref="A4:F4"/>
    <mergeCell ref="B5:K5"/>
    <mergeCell ref="B6:K6"/>
  </mergeCells>
  <phoneticPr fontId="27"/>
  <pageMargins left="0.7" right="0.7" top="0.75" bottom="0.75" header="0.3" footer="0.3"/>
  <pageSetup paperSize="9" scale="70" orientation="portrait" r:id="rId1"/>
  <rowBreaks count="2" manualBreakCount="2">
    <brk id="138" max="9" man="1"/>
    <brk id="208"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8"/>
  </sheetPr>
  <dimension ref="A1:X127"/>
  <sheetViews>
    <sheetView view="pageBreakPreview" zoomScaleNormal="90" zoomScaleSheetLayoutView="100" workbookViewId="0">
      <selection activeCell="K26" sqref="K26"/>
    </sheetView>
  </sheetViews>
  <sheetFormatPr defaultColWidth="9" defaultRowHeight="13.5" x14ac:dyDescent="0.15"/>
  <cols>
    <col min="1" max="1" width="1.375" style="252" customWidth="1"/>
    <col min="2" max="2" width="5.25" style="252" customWidth="1"/>
    <col min="3" max="3" width="13.5" style="252" customWidth="1"/>
    <col min="4" max="4" width="9.25" style="253" bestFit="1" customWidth="1"/>
    <col min="5" max="5" width="13.875" style="252" bestFit="1" customWidth="1"/>
    <col min="6" max="6" width="11.625" style="253" bestFit="1" customWidth="1"/>
    <col min="7" max="7" width="13.875" style="252" bestFit="1" customWidth="1"/>
    <col min="8" max="8" width="9.625" style="253" bestFit="1" customWidth="1"/>
    <col min="9" max="9" width="12.375" style="252" customWidth="1"/>
    <col min="10" max="10" width="2.25" style="258" customWidth="1"/>
    <col min="11" max="11" width="22.625" style="255" customWidth="1"/>
    <col min="12" max="12" width="19" style="256" customWidth="1"/>
    <col min="13" max="13" width="23.75" style="256" customWidth="1"/>
    <col min="14" max="14" width="16.25" style="257" customWidth="1"/>
    <col min="15" max="16" width="9" style="258"/>
    <col min="17" max="16384" width="9" style="252"/>
  </cols>
  <sheetData>
    <row r="1" spans="2:24" ht="23.25" customHeight="1" x14ac:dyDescent="0.15">
      <c r="B1" s="251"/>
      <c r="F1" s="254" t="s">
        <v>1363</v>
      </c>
      <c r="G1" s="254"/>
      <c r="H1" s="254"/>
      <c r="I1" s="254"/>
      <c r="J1" s="254"/>
    </row>
    <row r="2" spans="2:24" x14ac:dyDescent="0.15">
      <c r="U2" s="259"/>
      <c r="V2" s="259"/>
      <c r="W2" s="259"/>
      <c r="X2" s="259"/>
    </row>
    <row r="3" spans="2:24" x14ac:dyDescent="0.15">
      <c r="B3" s="259"/>
      <c r="C3" s="259"/>
      <c r="D3" s="260"/>
      <c r="E3" s="259"/>
      <c r="F3" s="260"/>
      <c r="G3" s="259"/>
      <c r="H3" s="260"/>
      <c r="I3" s="259"/>
      <c r="J3" s="261"/>
      <c r="S3" s="262"/>
      <c r="T3" s="262"/>
      <c r="U3" s="263"/>
      <c r="V3" s="263"/>
      <c r="W3" s="259"/>
      <c r="X3" s="259"/>
    </row>
    <row r="4" spans="2:24" ht="14.25" customHeight="1" thickBot="1" x14ac:dyDescent="0.2">
      <c r="B4" s="264" t="s">
        <v>1364</v>
      </c>
      <c r="C4" s="259"/>
      <c r="D4" s="260"/>
      <c r="E4" s="259"/>
      <c r="F4" s="260"/>
      <c r="G4" s="259"/>
      <c r="H4" s="260"/>
      <c r="I4" s="259"/>
      <c r="J4" s="261"/>
      <c r="K4" s="265"/>
      <c r="M4" s="266"/>
      <c r="N4" s="267"/>
      <c r="T4" s="253"/>
      <c r="U4" s="259"/>
      <c r="V4" s="260"/>
      <c r="W4" s="259"/>
      <c r="X4" s="259"/>
    </row>
    <row r="5" spans="2:24" ht="14.25" customHeight="1" thickBot="1" x14ac:dyDescent="0.2">
      <c r="B5" s="1724" t="s">
        <v>1365</v>
      </c>
      <c r="C5" s="1724"/>
      <c r="D5" s="1724"/>
      <c r="E5" s="1724"/>
      <c r="F5" s="1730"/>
      <c r="G5" s="268">
        <f ca="1">調査票!L706</f>
        <v>0</v>
      </c>
      <c r="H5" s="263" t="s">
        <v>1366</v>
      </c>
      <c r="I5" s="259"/>
      <c r="J5" s="261"/>
      <c r="K5" s="265"/>
      <c r="M5" s="266"/>
      <c r="N5" s="267"/>
      <c r="S5" s="262"/>
      <c r="T5" s="262"/>
      <c r="U5" s="263"/>
      <c r="V5" s="263"/>
      <c r="W5" s="259"/>
      <c r="X5" s="259"/>
    </row>
    <row r="6" spans="2:24" ht="14.25" customHeight="1" thickBot="1" x14ac:dyDescent="0.2">
      <c r="B6" s="259"/>
      <c r="C6" s="259"/>
      <c r="D6" s="260"/>
      <c r="E6" s="259"/>
      <c r="F6" s="260"/>
      <c r="G6" s="259"/>
      <c r="H6" s="263"/>
      <c r="I6" s="259"/>
      <c r="J6" s="261"/>
      <c r="K6" s="265"/>
      <c r="M6" s="266"/>
      <c r="N6" s="267"/>
      <c r="T6" s="253"/>
      <c r="U6" s="259"/>
      <c r="V6" s="260"/>
      <c r="W6" s="259"/>
      <c r="X6" s="259"/>
    </row>
    <row r="7" spans="2:24" ht="14.25" thickBot="1" x14ac:dyDescent="0.2">
      <c r="B7" s="1724" t="s">
        <v>1367</v>
      </c>
      <c r="C7" s="1724"/>
      <c r="D7" s="1724"/>
      <c r="E7" s="1724"/>
      <c r="F7" s="1730"/>
      <c r="G7" s="268">
        <f ca="1">調査票!L720</f>
        <v>0</v>
      </c>
      <c r="H7" s="263" t="s">
        <v>1366</v>
      </c>
      <c r="I7" s="259"/>
      <c r="J7" s="261"/>
      <c r="K7" s="265"/>
      <c r="M7" s="266"/>
      <c r="N7" s="269"/>
      <c r="S7" s="262"/>
      <c r="T7" s="262"/>
      <c r="U7" s="263"/>
      <c r="V7" s="263"/>
      <c r="W7" s="259"/>
      <c r="X7" s="259"/>
    </row>
    <row r="8" spans="2:24" ht="14.25" thickBot="1" x14ac:dyDescent="0.2">
      <c r="B8" s="259"/>
      <c r="C8" s="259"/>
      <c r="D8" s="260"/>
      <c r="E8" s="259"/>
      <c r="F8" s="260"/>
      <c r="G8" s="259"/>
      <c r="H8" s="263"/>
      <c r="I8" s="259"/>
      <c r="J8" s="261"/>
      <c r="K8" s="270"/>
      <c r="M8" s="266"/>
      <c r="T8" s="253"/>
      <c r="U8" s="259"/>
      <c r="V8" s="260"/>
      <c r="W8" s="259"/>
      <c r="X8" s="259"/>
    </row>
    <row r="9" spans="2:24" ht="14.25" thickBot="1" x14ac:dyDescent="0.2">
      <c r="B9" s="1724" t="s">
        <v>1368</v>
      </c>
      <c r="C9" s="1724"/>
      <c r="D9" s="1724"/>
      <c r="E9" s="1724"/>
      <c r="F9" s="1730"/>
      <c r="G9" s="271">
        <f ca="1">G5-G7</f>
        <v>0</v>
      </c>
      <c r="H9" s="263" t="s">
        <v>1366</v>
      </c>
      <c r="I9" s="259"/>
      <c r="J9" s="261"/>
      <c r="K9" s="270"/>
      <c r="M9" s="266"/>
      <c r="T9" s="253"/>
      <c r="U9" s="259"/>
      <c r="V9" s="260"/>
      <c r="W9" s="259"/>
      <c r="X9" s="259"/>
    </row>
    <row r="10" spans="2:24" x14ac:dyDescent="0.15">
      <c r="B10" s="259"/>
      <c r="C10" s="259"/>
      <c r="D10" s="260"/>
      <c r="E10" s="259"/>
      <c r="F10" s="260"/>
      <c r="G10" s="259"/>
      <c r="H10" s="260"/>
      <c r="I10" s="259"/>
      <c r="J10" s="261"/>
      <c r="K10" s="270"/>
      <c r="M10" s="266"/>
      <c r="U10" s="259"/>
      <c r="V10" s="259"/>
      <c r="W10" s="259"/>
      <c r="X10" s="259"/>
    </row>
    <row r="11" spans="2:24" x14ac:dyDescent="0.15">
      <c r="B11" s="263" t="s">
        <v>1369</v>
      </c>
      <c r="C11" s="259"/>
      <c r="D11" s="260"/>
      <c r="E11" s="259"/>
      <c r="F11" s="260"/>
      <c r="G11" s="259"/>
      <c r="H11" s="260"/>
      <c r="I11" s="259"/>
      <c r="J11" s="261"/>
      <c r="K11" s="270"/>
      <c r="M11" s="272"/>
      <c r="N11" s="272"/>
      <c r="O11" s="273"/>
      <c r="P11" s="273"/>
      <c r="Q11" s="273"/>
      <c r="R11" s="273"/>
      <c r="S11" s="273"/>
      <c r="T11" s="273"/>
      <c r="U11" s="273"/>
      <c r="V11" s="259"/>
      <c r="W11" s="259"/>
      <c r="X11" s="259"/>
    </row>
    <row r="12" spans="2:24" ht="14.25" thickBot="1" x14ac:dyDescent="0.2">
      <c r="B12" s="259"/>
      <c r="C12" s="1724" t="s">
        <v>1370</v>
      </c>
      <c r="D12" s="1724"/>
      <c r="E12" s="1724"/>
      <c r="F12" s="1724"/>
      <c r="G12" s="1724"/>
      <c r="H12" s="1724"/>
      <c r="I12" s="1724"/>
      <c r="J12" s="1724"/>
      <c r="K12" s="265"/>
      <c r="M12" s="274"/>
      <c r="O12" s="275"/>
      <c r="P12" s="275"/>
      <c r="Q12" s="275"/>
      <c r="R12" s="275"/>
      <c r="S12" s="275"/>
      <c r="T12" s="275"/>
      <c r="U12" s="276"/>
      <c r="V12" s="259"/>
      <c r="W12" s="259"/>
      <c r="X12" s="259"/>
    </row>
    <row r="13" spans="2:24" ht="14.25" customHeight="1" thickBot="1" x14ac:dyDescent="0.2">
      <c r="B13" s="277" t="s">
        <v>1371</v>
      </c>
      <c r="C13" s="278">
        <f ca="1">G9</f>
        <v>0</v>
      </c>
      <c r="D13" s="260" t="s">
        <v>1372</v>
      </c>
      <c r="E13" s="278">
        <f ca="1">G5</f>
        <v>0</v>
      </c>
      <c r="F13" s="260" t="s">
        <v>1373</v>
      </c>
      <c r="G13" s="279" t="e">
        <f ca="1">IF(E13="","",(C13/E13))</f>
        <v>#DIV/0!</v>
      </c>
      <c r="H13" s="263"/>
      <c r="I13" s="259"/>
      <c r="J13" s="261"/>
      <c r="K13" s="265"/>
      <c r="M13" s="274"/>
      <c r="O13" s="275"/>
      <c r="P13" s="275"/>
      <c r="Q13" s="275"/>
      <c r="R13" s="275"/>
      <c r="S13" s="275"/>
      <c r="T13" s="275"/>
      <c r="U13" s="275"/>
    </row>
    <row r="14" spans="2:24" x14ac:dyDescent="0.15">
      <c r="B14" s="259"/>
      <c r="C14" s="259"/>
      <c r="D14" s="260"/>
      <c r="E14" s="259"/>
      <c r="F14" s="260"/>
      <c r="G14" s="259"/>
      <c r="H14" s="260"/>
      <c r="I14" s="259"/>
      <c r="J14" s="261"/>
      <c r="K14" s="270"/>
      <c r="M14" s="274"/>
      <c r="O14" s="275"/>
      <c r="P14" s="275"/>
      <c r="Q14" s="275"/>
      <c r="R14" s="275"/>
      <c r="S14" s="275"/>
      <c r="T14" s="275"/>
      <c r="U14" s="275"/>
    </row>
    <row r="15" spans="2:24" ht="23.25" customHeight="1" thickBot="1" x14ac:dyDescent="0.2">
      <c r="B15" s="264" t="s">
        <v>1374</v>
      </c>
      <c r="C15" s="259"/>
      <c r="D15" s="260"/>
      <c r="E15" s="259"/>
      <c r="F15" s="260"/>
      <c r="G15" s="259"/>
      <c r="H15" s="260"/>
      <c r="I15" s="259"/>
      <c r="J15" s="261"/>
      <c r="K15" s="265"/>
      <c r="M15" s="274"/>
      <c r="O15" s="275"/>
      <c r="P15" s="275"/>
      <c r="Q15" s="275"/>
      <c r="R15" s="275"/>
      <c r="S15" s="275"/>
      <c r="T15" s="275"/>
      <c r="U15" s="275"/>
    </row>
    <row r="16" spans="2:24" x14ac:dyDescent="0.15">
      <c r="B16" s="280" t="s">
        <v>1375</v>
      </c>
      <c r="C16" s="281"/>
      <c r="D16" s="282"/>
      <c r="E16" s="281"/>
      <c r="F16" s="282"/>
      <c r="G16" s="281"/>
      <c r="H16" s="282"/>
      <c r="I16" s="283"/>
      <c r="J16" s="261"/>
      <c r="K16" s="265"/>
      <c r="M16" s="266"/>
      <c r="N16" s="284"/>
    </row>
    <row r="17" spans="2:16" ht="14.25" thickBot="1" x14ac:dyDescent="0.2">
      <c r="B17" s="285"/>
      <c r="C17" s="259" t="s">
        <v>1376</v>
      </c>
      <c r="D17" s="260"/>
      <c r="E17" s="259"/>
      <c r="F17" s="260"/>
      <c r="G17" s="259"/>
      <c r="H17" s="260"/>
      <c r="I17" s="286"/>
      <c r="J17" s="261"/>
      <c r="K17" s="270"/>
      <c r="M17" s="266"/>
    </row>
    <row r="18" spans="2:16" ht="14.25" customHeight="1" thickBot="1" x14ac:dyDescent="0.2">
      <c r="B18" s="285"/>
      <c r="C18" s="278">
        <f ca="1">$G$5</f>
        <v>0</v>
      </c>
      <c r="D18" s="260" t="s">
        <v>1377</v>
      </c>
      <c r="E18" s="287">
        <f ca="1">調査票!L704</f>
        <v>0</v>
      </c>
      <c r="F18" s="260" t="s">
        <v>1378</v>
      </c>
      <c r="G18" s="288">
        <f ca="1">C18-E18</f>
        <v>0</v>
      </c>
      <c r="H18" s="260"/>
      <c r="I18" s="286"/>
      <c r="J18" s="261"/>
      <c r="K18" s="265"/>
      <c r="M18" s="266"/>
    </row>
    <row r="19" spans="2:16" ht="6" customHeight="1" thickBot="1" x14ac:dyDescent="0.2">
      <c r="B19" s="289"/>
      <c r="C19" s="290"/>
      <c r="D19" s="291"/>
      <c r="E19" s="290"/>
      <c r="F19" s="291"/>
      <c r="G19" s="290"/>
      <c r="H19" s="291"/>
      <c r="I19" s="292"/>
      <c r="J19" s="261"/>
      <c r="K19" s="265"/>
      <c r="M19" s="266"/>
    </row>
    <row r="20" spans="2:16" x14ac:dyDescent="0.15">
      <c r="B20" s="259"/>
      <c r="C20" s="259"/>
      <c r="D20" s="260"/>
      <c r="E20" s="259"/>
      <c r="F20" s="260"/>
      <c r="G20" s="259"/>
      <c r="H20" s="260"/>
      <c r="I20" s="259"/>
      <c r="J20" s="261"/>
      <c r="K20" s="270"/>
      <c r="M20" s="266"/>
    </row>
    <row r="21" spans="2:16" x14ac:dyDescent="0.15">
      <c r="B21" s="1724" t="s">
        <v>1379</v>
      </c>
      <c r="C21" s="1724"/>
      <c r="D21" s="1724"/>
      <c r="E21" s="1724"/>
      <c r="F21" s="1724"/>
      <c r="G21" s="293"/>
      <c r="H21" s="293"/>
      <c r="I21" s="293"/>
      <c r="J21" s="293"/>
      <c r="K21" s="270"/>
      <c r="M21" s="266"/>
    </row>
    <row r="22" spans="2:16" ht="14.25" thickBot="1" x14ac:dyDescent="0.2">
      <c r="B22" s="259"/>
      <c r="C22" s="1724" t="s">
        <v>1380</v>
      </c>
      <c r="D22" s="1724"/>
      <c r="E22" s="1724"/>
      <c r="F22" s="1724"/>
      <c r="G22" s="1724"/>
      <c r="H22" s="1724"/>
      <c r="I22" s="1724"/>
      <c r="J22" s="1724"/>
      <c r="K22" s="265"/>
      <c r="M22" s="266"/>
    </row>
    <row r="23" spans="2:16" ht="14.25" thickBot="1" x14ac:dyDescent="0.2">
      <c r="B23" s="259"/>
      <c r="C23" s="287" t="str">
        <f>調査票!R68</f>
        <v/>
      </c>
      <c r="D23" s="260" t="s">
        <v>1372</v>
      </c>
      <c r="E23" s="287">
        <v>365</v>
      </c>
      <c r="F23" s="260" t="s">
        <v>1378</v>
      </c>
      <c r="G23" s="294" t="e">
        <f>C23/E23</f>
        <v>#VALUE!</v>
      </c>
      <c r="H23" s="263" t="s">
        <v>1381</v>
      </c>
      <c r="I23" s="259"/>
      <c r="J23" s="261"/>
      <c r="K23" s="295"/>
      <c r="M23" s="266"/>
    </row>
    <row r="24" spans="2:16" x14ac:dyDescent="0.15">
      <c r="B24" s="259"/>
      <c r="C24" s="1725" t="s">
        <v>1382</v>
      </c>
      <c r="D24" s="1725"/>
      <c r="E24" s="1725" t="s">
        <v>1383</v>
      </c>
      <c r="F24" s="1725"/>
      <c r="G24" s="259"/>
      <c r="H24" s="260"/>
      <c r="I24" s="259"/>
      <c r="J24" s="261"/>
      <c r="K24" s="296"/>
      <c r="M24" s="266"/>
      <c r="N24" s="284"/>
    </row>
    <row r="25" spans="2:16" x14ac:dyDescent="0.15">
      <c r="B25" s="259"/>
      <c r="C25" s="259"/>
      <c r="D25" s="260"/>
      <c r="E25" s="259"/>
      <c r="F25" s="260"/>
      <c r="G25" s="259"/>
      <c r="H25" s="260"/>
      <c r="I25" s="259"/>
      <c r="J25" s="261"/>
      <c r="K25" s="296"/>
      <c r="M25" s="255"/>
    </row>
    <row r="26" spans="2:16" x14ac:dyDescent="0.15">
      <c r="B26" s="1724" t="s">
        <v>1384</v>
      </c>
      <c r="C26" s="1724"/>
      <c r="D26" s="1724"/>
      <c r="E26" s="1724"/>
      <c r="F26" s="1724"/>
      <c r="G26" s="293"/>
      <c r="H26" s="293"/>
      <c r="I26" s="293"/>
      <c r="J26" s="293"/>
      <c r="K26" s="297"/>
      <c r="M26" s="255"/>
    </row>
    <row r="27" spans="2:16" ht="14.25" thickBot="1" x14ac:dyDescent="0.2">
      <c r="B27" s="259"/>
      <c r="C27" s="1724" t="s">
        <v>1385</v>
      </c>
      <c r="D27" s="1724"/>
      <c r="E27" s="1724"/>
      <c r="F27" s="1724"/>
      <c r="G27" s="1724"/>
      <c r="H27" s="1724"/>
      <c r="I27" s="1724"/>
      <c r="J27" s="1724"/>
      <c r="K27" s="297"/>
      <c r="M27" s="255"/>
    </row>
    <row r="28" spans="2:16" ht="14.25" thickBot="1" x14ac:dyDescent="0.2">
      <c r="B28" s="259"/>
      <c r="C28" s="298" t="e">
        <f>G23</f>
        <v>#VALUE!</v>
      </c>
      <c r="D28" s="260" t="s">
        <v>1372</v>
      </c>
      <c r="E28" s="287" t="str">
        <f>調査票!J59</f>
        <v/>
      </c>
      <c r="F28" s="260" t="s">
        <v>1386</v>
      </c>
      <c r="G28" s="299" t="e">
        <f>C28/E28</f>
        <v>#VALUE!</v>
      </c>
      <c r="H28" s="263"/>
      <c r="I28" s="260"/>
      <c r="J28" s="261"/>
      <c r="K28" s="295"/>
      <c r="M28" s="255"/>
    </row>
    <row r="29" spans="2:16" x14ac:dyDescent="0.15">
      <c r="B29" s="259"/>
      <c r="C29" s="1725" t="s">
        <v>1387</v>
      </c>
      <c r="D29" s="1725"/>
      <c r="E29" s="1725" t="s">
        <v>1388</v>
      </c>
      <c r="F29" s="1725"/>
      <c r="G29" s="259"/>
      <c r="H29" s="260"/>
      <c r="I29" s="259"/>
      <c r="J29" s="261"/>
      <c r="K29" s="297"/>
      <c r="M29" s="255"/>
    </row>
    <row r="30" spans="2:16" x14ac:dyDescent="0.15">
      <c r="B30" s="259"/>
      <c r="C30" s="259"/>
      <c r="D30" s="260"/>
      <c r="E30" s="259"/>
      <c r="F30" s="260"/>
      <c r="G30" s="259"/>
      <c r="H30" s="260"/>
      <c r="I30" s="259"/>
      <c r="J30" s="261"/>
      <c r="K30" s="297"/>
    </row>
    <row r="31" spans="2:16" s="275" customFormat="1" x14ac:dyDescent="0.15">
      <c r="B31" s="1724" t="s">
        <v>1389</v>
      </c>
      <c r="C31" s="1724"/>
      <c r="D31" s="1724"/>
      <c r="E31" s="1724"/>
      <c r="F31" s="1724"/>
      <c r="G31" s="1729"/>
      <c r="H31" s="1729"/>
      <c r="I31" s="1729"/>
      <c r="J31" s="1729"/>
      <c r="K31" s="295"/>
      <c r="L31" s="256"/>
      <c r="M31" s="256"/>
      <c r="N31" s="257"/>
      <c r="O31" s="258"/>
      <c r="P31" s="258"/>
    </row>
    <row r="32" spans="2:16" s="275" customFormat="1" ht="14.25" thickBot="1" x14ac:dyDescent="0.2">
      <c r="B32" s="259"/>
      <c r="C32" s="259" t="s">
        <v>1390</v>
      </c>
      <c r="D32" s="260"/>
      <c r="E32" s="259"/>
      <c r="F32" s="260"/>
      <c r="G32" s="259"/>
      <c r="H32" s="260"/>
      <c r="I32" s="259"/>
      <c r="J32" s="261"/>
      <c r="K32" s="295"/>
      <c r="L32" s="256"/>
      <c r="M32" s="256"/>
      <c r="N32" s="257"/>
      <c r="O32" s="258"/>
      <c r="P32" s="258"/>
    </row>
    <row r="33" spans="2:16" s="275" customFormat="1" ht="14.25" thickBot="1" x14ac:dyDescent="0.2">
      <c r="B33" s="259"/>
      <c r="C33" s="300">
        <f>調査票!M298</f>
        <v>0</v>
      </c>
      <c r="D33" s="260" t="s">
        <v>1372</v>
      </c>
      <c r="E33" s="298" t="e">
        <f>G23</f>
        <v>#VALUE!</v>
      </c>
      <c r="F33" s="260" t="s">
        <v>1391</v>
      </c>
      <c r="G33" s="294" t="e">
        <f>C33/E33*10</f>
        <v>#VALUE!</v>
      </c>
      <c r="H33" s="263" t="s">
        <v>1381</v>
      </c>
      <c r="I33" s="259"/>
      <c r="J33" s="261"/>
      <c r="K33" s="297"/>
      <c r="L33" s="256"/>
      <c r="M33" s="256"/>
      <c r="N33" s="257"/>
      <c r="O33" s="258"/>
      <c r="P33" s="258"/>
    </row>
    <row r="34" spans="2:16" s="275" customFormat="1" x14ac:dyDescent="0.15">
      <c r="B34" s="259"/>
      <c r="C34" s="1725" t="s">
        <v>1392</v>
      </c>
      <c r="D34" s="1725"/>
      <c r="E34" s="1725" t="s">
        <v>1387</v>
      </c>
      <c r="F34" s="1725"/>
      <c r="G34" s="259"/>
      <c r="H34" s="260"/>
      <c r="I34" s="259"/>
      <c r="J34" s="261"/>
      <c r="K34" s="297"/>
      <c r="L34" s="256"/>
      <c r="M34" s="256"/>
      <c r="N34" s="257"/>
      <c r="O34" s="258"/>
      <c r="P34" s="258"/>
    </row>
    <row r="35" spans="2:16" x14ac:dyDescent="0.15">
      <c r="B35" s="259"/>
      <c r="C35" s="259"/>
      <c r="D35" s="260"/>
      <c r="E35" s="259"/>
      <c r="F35" s="260"/>
      <c r="G35" s="259"/>
      <c r="H35" s="260"/>
      <c r="I35" s="259"/>
      <c r="J35" s="261"/>
      <c r="K35" s="297"/>
    </row>
    <row r="36" spans="2:16" s="275" customFormat="1" x14ac:dyDescent="0.15">
      <c r="B36" s="1724" t="s">
        <v>1393</v>
      </c>
      <c r="C36" s="1724"/>
      <c r="D36" s="1724"/>
      <c r="E36" s="1724"/>
      <c r="F36" s="1724"/>
      <c r="G36" s="1724"/>
      <c r="H36" s="1724"/>
      <c r="I36" s="1724"/>
      <c r="J36" s="1724"/>
      <c r="K36" s="296"/>
      <c r="L36" s="256"/>
      <c r="M36" s="256"/>
      <c r="N36" s="257"/>
      <c r="O36" s="258"/>
      <c r="P36" s="258"/>
    </row>
    <row r="37" spans="2:16" s="275" customFormat="1" ht="14.25" thickBot="1" x14ac:dyDescent="0.2">
      <c r="B37" s="259"/>
      <c r="C37" s="259" t="s">
        <v>1394</v>
      </c>
      <c r="D37" s="260"/>
      <c r="E37" s="259"/>
      <c r="F37" s="260"/>
      <c r="G37" s="259"/>
      <c r="H37" s="260"/>
      <c r="I37" s="259"/>
      <c r="J37" s="261"/>
      <c r="K37" s="297"/>
      <c r="L37" s="256"/>
      <c r="M37" s="256"/>
      <c r="N37" s="257"/>
      <c r="O37" s="258"/>
      <c r="P37" s="258"/>
    </row>
    <row r="38" spans="2:16" s="275" customFormat="1" ht="14.25" thickBot="1" x14ac:dyDescent="0.2">
      <c r="B38" s="259"/>
      <c r="C38" s="278">
        <f ca="1">$G$18</f>
        <v>0</v>
      </c>
      <c r="D38" s="260" t="s">
        <v>1372</v>
      </c>
      <c r="E38" s="278" t="str">
        <f>C23</f>
        <v/>
      </c>
      <c r="F38" s="260" t="s">
        <v>1378</v>
      </c>
      <c r="G38" s="301" t="e">
        <f ca="1">C38/E38</f>
        <v>#VALUE!</v>
      </c>
      <c r="H38" s="263" t="s">
        <v>1366</v>
      </c>
      <c r="I38" s="259"/>
      <c r="J38" s="261"/>
      <c r="K38" s="302"/>
      <c r="L38" s="256"/>
      <c r="M38" s="256"/>
      <c r="N38" s="257"/>
      <c r="O38" s="258"/>
      <c r="P38" s="258"/>
    </row>
    <row r="39" spans="2:16" s="275" customFormat="1" x14ac:dyDescent="0.15">
      <c r="B39" s="259"/>
      <c r="C39" s="1725" t="s">
        <v>1395</v>
      </c>
      <c r="D39" s="1725"/>
      <c r="E39" s="1726" t="s">
        <v>1382</v>
      </c>
      <c r="F39" s="1726"/>
      <c r="G39" s="303"/>
      <c r="H39" s="260"/>
      <c r="I39" s="259"/>
      <c r="J39" s="261"/>
      <c r="K39" s="297"/>
      <c r="L39" s="256"/>
      <c r="M39" s="256"/>
      <c r="N39" s="257"/>
      <c r="O39" s="258"/>
      <c r="P39" s="258"/>
    </row>
    <row r="40" spans="2:16" hidden="1" x14ac:dyDescent="0.15">
      <c r="B40" s="259"/>
      <c r="C40" s="259"/>
      <c r="D40" s="260"/>
      <c r="E40" s="259"/>
      <c r="F40" s="260"/>
      <c r="G40" s="259"/>
      <c r="H40" s="260"/>
      <c r="I40" s="259"/>
      <c r="J40" s="261"/>
      <c r="K40" s="302"/>
    </row>
    <row r="41" spans="2:16" s="275" customFormat="1" hidden="1" x14ac:dyDescent="0.15">
      <c r="B41" s="259" t="s">
        <v>1396</v>
      </c>
      <c r="C41" s="259"/>
      <c r="D41" s="260"/>
      <c r="E41" s="259"/>
      <c r="F41" s="260"/>
      <c r="G41" s="259"/>
      <c r="H41" s="260"/>
      <c r="I41" s="259"/>
      <c r="J41" s="261"/>
      <c r="K41" s="296"/>
      <c r="L41" s="256"/>
      <c r="M41" s="256"/>
      <c r="N41" s="257"/>
      <c r="O41" s="258"/>
      <c r="P41" s="258"/>
    </row>
    <row r="42" spans="2:16" s="275" customFormat="1" hidden="1" x14ac:dyDescent="0.15">
      <c r="B42" s="259"/>
      <c r="C42" s="259" t="s">
        <v>1397</v>
      </c>
      <c r="D42" s="260"/>
      <c r="E42" s="259"/>
      <c r="F42" s="260"/>
      <c r="G42" s="259"/>
      <c r="H42" s="260"/>
      <c r="I42" s="259"/>
      <c r="J42" s="261"/>
      <c r="K42" s="297"/>
      <c r="L42" s="256"/>
      <c r="M42" s="256"/>
      <c r="N42" s="257"/>
      <c r="O42" s="258"/>
      <c r="P42" s="258"/>
    </row>
    <row r="43" spans="2:16" s="275" customFormat="1" ht="14.25" hidden="1" thickBot="1" x14ac:dyDescent="0.2">
      <c r="B43" s="259"/>
      <c r="C43" s="278">
        <f ca="1">$G$18</f>
        <v>0</v>
      </c>
      <c r="D43" s="260" t="s">
        <v>1372</v>
      </c>
      <c r="E43" s="300">
        <f>L36</f>
        <v>0</v>
      </c>
      <c r="F43" s="260" t="s">
        <v>1378</v>
      </c>
      <c r="G43" s="301" t="e">
        <f ca="1">IF(E43="","",C43/E43)</f>
        <v>#DIV/0!</v>
      </c>
      <c r="H43" s="263" t="s">
        <v>1366</v>
      </c>
      <c r="I43" s="259"/>
      <c r="J43" s="261"/>
      <c r="K43" s="302"/>
      <c r="L43" s="256"/>
      <c r="M43" s="256"/>
      <c r="N43" s="257"/>
      <c r="O43" s="258"/>
      <c r="P43" s="258"/>
    </row>
    <row r="44" spans="2:16" s="275" customFormat="1" hidden="1" x14ac:dyDescent="0.15">
      <c r="B44" s="259"/>
      <c r="C44" s="1725" t="s">
        <v>1395</v>
      </c>
      <c r="D44" s="1725"/>
      <c r="E44" s="1725" t="s">
        <v>1398</v>
      </c>
      <c r="F44" s="1725"/>
      <c r="G44" s="259"/>
      <c r="H44" s="260"/>
      <c r="I44" s="259"/>
      <c r="J44" s="261"/>
      <c r="K44" s="297"/>
      <c r="L44" s="256"/>
      <c r="M44" s="256"/>
      <c r="N44" s="257"/>
      <c r="O44" s="258"/>
      <c r="P44" s="258"/>
    </row>
    <row r="45" spans="2:16" hidden="1" x14ac:dyDescent="0.15">
      <c r="B45" s="259"/>
      <c r="C45" s="259"/>
      <c r="D45" s="260"/>
      <c r="E45" s="259"/>
      <c r="F45" s="260"/>
      <c r="G45" s="259"/>
      <c r="H45" s="260"/>
      <c r="I45" s="259"/>
      <c r="J45" s="261"/>
      <c r="K45" s="302"/>
    </row>
    <row r="46" spans="2:16" s="275" customFormat="1" hidden="1" x14ac:dyDescent="0.15">
      <c r="B46" s="259" t="s">
        <v>1399</v>
      </c>
      <c r="C46" s="259"/>
      <c r="D46" s="260"/>
      <c r="E46" s="259"/>
      <c r="F46" s="260"/>
      <c r="G46" s="259"/>
      <c r="H46" s="260"/>
      <c r="I46" s="259"/>
      <c r="J46" s="261"/>
      <c r="K46" s="304"/>
      <c r="L46" s="256"/>
      <c r="M46" s="256"/>
      <c r="N46" s="257"/>
      <c r="O46" s="258"/>
      <c r="P46" s="258"/>
    </row>
    <row r="47" spans="2:16" s="275" customFormat="1" hidden="1" x14ac:dyDescent="0.15">
      <c r="B47" s="259"/>
      <c r="C47" s="259" t="s">
        <v>1400</v>
      </c>
      <c r="D47" s="260"/>
      <c r="E47" s="259"/>
      <c r="F47" s="260"/>
      <c r="G47" s="259"/>
      <c r="H47" s="260"/>
      <c r="I47" s="259"/>
      <c r="J47" s="261"/>
      <c r="K47" s="304"/>
      <c r="L47" s="256"/>
      <c r="M47" s="256"/>
      <c r="N47" s="257"/>
      <c r="O47" s="258"/>
      <c r="P47" s="258"/>
    </row>
    <row r="48" spans="2:16" s="275" customFormat="1" ht="14.25" hidden="1" thickBot="1" x14ac:dyDescent="0.2">
      <c r="B48" s="259"/>
      <c r="C48" s="278">
        <f ca="1">$G$18</f>
        <v>0</v>
      </c>
      <c r="D48" s="260" t="s">
        <v>1372</v>
      </c>
      <c r="E48" s="287">
        <f>L41</f>
        <v>0</v>
      </c>
      <c r="F48" s="260" t="s">
        <v>1378</v>
      </c>
      <c r="G48" s="301" t="e">
        <f ca="1">IF(E48="","",C48/E48)</f>
        <v>#DIV/0!</v>
      </c>
      <c r="H48" s="263" t="s">
        <v>1366</v>
      </c>
      <c r="I48" s="259"/>
      <c r="J48" s="261"/>
      <c r="K48" s="304"/>
      <c r="L48" s="256"/>
      <c r="M48" s="256"/>
      <c r="N48" s="257"/>
      <c r="O48" s="258"/>
      <c r="P48" s="258"/>
    </row>
    <row r="49" spans="2:18" s="275" customFormat="1" hidden="1" x14ac:dyDescent="0.15">
      <c r="B49" s="259"/>
      <c r="C49" s="1725" t="s">
        <v>1395</v>
      </c>
      <c r="D49" s="1725"/>
      <c r="E49" s="1725" t="s">
        <v>1401</v>
      </c>
      <c r="F49" s="1725"/>
      <c r="G49" s="259"/>
      <c r="H49" s="260"/>
      <c r="I49" s="259"/>
      <c r="J49" s="261"/>
      <c r="K49" s="304"/>
      <c r="L49" s="256"/>
      <c r="M49" s="256"/>
      <c r="N49" s="257"/>
      <c r="O49" s="258"/>
      <c r="P49" s="258"/>
    </row>
    <row r="50" spans="2:18" hidden="1" x14ac:dyDescent="0.15">
      <c r="B50" s="259"/>
      <c r="C50" s="259"/>
      <c r="D50" s="260"/>
      <c r="E50" s="259"/>
      <c r="F50" s="260"/>
      <c r="G50" s="259"/>
      <c r="H50" s="260"/>
      <c r="I50" s="259"/>
      <c r="J50" s="261"/>
      <c r="K50" s="296"/>
    </row>
    <row r="51" spans="2:18" s="275" customFormat="1" hidden="1" x14ac:dyDescent="0.15">
      <c r="B51" s="259" t="s">
        <v>1402</v>
      </c>
      <c r="C51" s="259"/>
      <c r="D51" s="260"/>
      <c r="E51" s="259"/>
      <c r="F51" s="260"/>
      <c r="G51" s="259"/>
      <c r="H51" s="260"/>
      <c r="I51" s="259"/>
      <c r="J51" s="261"/>
      <c r="K51" s="297"/>
      <c r="L51" s="256"/>
      <c r="M51" s="256"/>
      <c r="N51" s="257"/>
      <c r="O51" s="258"/>
      <c r="P51" s="258"/>
    </row>
    <row r="52" spans="2:18" s="275" customFormat="1" hidden="1" x14ac:dyDescent="0.15">
      <c r="B52" s="259"/>
      <c r="C52" s="259" t="s">
        <v>1403</v>
      </c>
      <c r="D52" s="260"/>
      <c r="E52" s="259"/>
      <c r="F52" s="260"/>
      <c r="G52" s="259"/>
      <c r="H52" s="260"/>
      <c r="I52" s="259"/>
      <c r="J52" s="261"/>
      <c r="K52" s="297"/>
      <c r="L52" s="256"/>
      <c r="M52" s="256"/>
      <c r="N52" s="257"/>
      <c r="O52" s="258"/>
      <c r="P52" s="258"/>
    </row>
    <row r="53" spans="2:18" s="275" customFormat="1" ht="14.25" hidden="1" thickBot="1" x14ac:dyDescent="0.2">
      <c r="B53" s="259"/>
      <c r="C53" s="278">
        <f ca="1">$G$18</f>
        <v>0</v>
      </c>
      <c r="D53" s="260" t="s">
        <v>1372</v>
      </c>
      <c r="E53" s="287">
        <f>L50</f>
        <v>0</v>
      </c>
      <c r="F53" s="260" t="s">
        <v>1378</v>
      </c>
      <c r="G53" s="271" t="e">
        <f ca="1">IF(E53="","",C53/E53)</f>
        <v>#DIV/0!</v>
      </c>
      <c r="H53" s="263" t="s">
        <v>1366</v>
      </c>
      <c r="I53" s="259"/>
      <c r="J53" s="261"/>
      <c r="K53" s="296"/>
      <c r="L53" s="256"/>
      <c r="M53" s="256"/>
      <c r="N53" s="257"/>
      <c r="O53" s="258"/>
      <c r="P53" s="258"/>
    </row>
    <row r="54" spans="2:18" s="275" customFormat="1" hidden="1" x14ac:dyDescent="0.15">
      <c r="B54" s="259"/>
      <c r="C54" s="1725" t="s">
        <v>1395</v>
      </c>
      <c r="D54" s="1725"/>
      <c r="E54" s="1725" t="s">
        <v>1404</v>
      </c>
      <c r="F54" s="1725"/>
      <c r="G54" s="259"/>
      <c r="H54" s="260"/>
      <c r="I54" s="259"/>
      <c r="J54" s="261"/>
      <c r="K54" s="255"/>
      <c r="L54" s="256"/>
      <c r="M54" s="256"/>
      <c r="N54" s="257"/>
      <c r="O54" s="258"/>
      <c r="P54" s="258"/>
    </row>
    <row r="55" spans="2:18" hidden="1" x14ac:dyDescent="0.15"/>
    <row r="56" spans="2:18" s="275" customFormat="1" hidden="1" x14ac:dyDescent="0.15">
      <c r="B56" s="252" t="s">
        <v>1405</v>
      </c>
      <c r="C56" s="252"/>
      <c r="D56" s="253"/>
      <c r="E56" s="252"/>
      <c r="F56" s="253"/>
      <c r="G56" s="252"/>
      <c r="H56" s="253"/>
      <c r="I56" s="252"/>
      <c r="J56" s="258"/>
      <c r="K56" s="255"/>
      <c r="L56" s="256"/>
      <c r="M56" s="256"/>
      <c r="N56" s="257"/>
      <c r="O56" s="258"/>
      <c r="P56" s="258"/>
    </row>
    <row r="57" spans="2:18" hidden="1" x14ac:dyDescent="0.15">
      <c r="C57" s="252" t="s">
        <v>1406</v>
      </c>
    </row>
    <row r="58" spans="2:18" ht="14.25" hidden="1" thickBot="1" x14ac:dyDescent="0.2">
      <c r="C58" s="287">
        <f>L50</f>
        <v>0</v>
      </c>
      <c r="D58" s="253" t="s">
        <v>1372</v>
      </c>
      <c r="E58" s="298">
        <f>$C$33</f>
        <v>0</v>
      </c>
      <c r="F58" s="305" t="s">
        <v>1372</v>
      </c>
      <c r="G58" s="305" t="s">
        <v>1407</v>
      </c>
      <c r="H58" s="253" t="s">
        <v>1378</v>
      </c>
      <c r="I58" s="294" t="e">
        <f>IF(C58="","",C58/E58/12)</f>
        <v>#DIV/0!</v>
      </c>
      <c r="J58" s="262"/>
      <c r="K58" s="274"/>
      <c r="L58" s="274"/>
      <c r="M58" s="255"/>
      <c r="N58" s="256"/>
      <c r="O58" s="306"/>
      <c r="P58" s="307"/>
      <c r="Q58" s="258"/>
      <c r="R58" s="258"/>
    </row>
    <row r="59" spans="2:18" hidden="1" x14ac:dyDescent="0.15">
      <c r="C59" s="1723" t="s">
        <v>1404</v>
      </c>
      <c r="D59" s="1723"/>
      <c r="E59" s="1723" t="s">
        <v>1408</v>
      </c>
      <c r="F59" s="1723"/>
      <c r="I59" s="308" t="s">
        <v>1409</v>
      </c>
    </row>
    <row r="61" spans="2:18" ht="23.25" customHeight="1" x14ac:dyDescent="0.15">
      <c r="B61" s="309" t="s">
        <v>1410</v>
      </c>
    </row>
    <row r="62" spans="2:18" x14ac:dyDescent="0.15">
      <c r="B62" s="252" t="s">
        <v>1411</v>
      </c>
    </row>
    <row r="63" spans="2:18" ht="14.25" thickBot="1" x14ac:dyDescent="0.2">
      <c r="C63" s="252" t="s">
        <v>1412</v>
      </c>
    </row>
    <row r="64" spans="2:18" ht="14.25" thickBot="1" x14ac:dyDescent="0.2">
      <c r="B64" s="308" t="s">
        <v>1371</v>
      </c>
      <c r="C64" s="287">
        <f ca="1">調査票!L707</f>
        <v>0</v>
      </c>
      <c r="D64" s="253" t="s">
        <v>1413</v>
      </c>
      <c r="E64" s="287">
        <f ca="1">調査票!L713</f>
        <v>0</v>
      </c>
      <c r="F64" s="253" t="s">
        <v>1414</v>
      </c>
      <c r="G64" s="278">
        <f ca="1">$G$18</f>
        <v>0</v>
      </c>
      <c r="H64" s="253" t="s">
        <v>1415</v>
      </c>
      <c r="I64" s="310" t="e">
        <f ca="1">(C64+E64)/G64</f>
        <v>#DIV/0!</v>
      </c>
    </row>
    <row r="65" spans="2:16" x14ac:dyDescent="0.15">
      <c r="C65" s="1723" t="s">
        <v>1416</v>
      </c>
      <c r="D65" s="1723"/>
      <c r="E65" s="1723" t="s">
        <v>1417</v>
      </c>
      <c r="F65" s="1723"/>
      <c r="G65" s="1723" t="s">
        <v>1395</v>
      </c>
      <c r="H65" s="1723"/>
    </row>
    <row r="67" spans="2:16" x14ac:dyDescent="0.15">
      <c r="B67" s="252" t="s">
        <v>1418</v>
      </c>
    </row>
    <row r="68" spans="2:16" ht="14.25" thickBot="1" x14ac:dyDescent="0.2">
      <c r="C68" s="252" t="s">
        <v>1419</v>
      </c>
    </row>
    <row r="69" spans="2:16" ht="14.25" thickBot="1" x14ac:dyDescent="0.2">
      <c r="C69" s="287">
        <f ca="1">調査票!L709</f>
        <v>0</v>
      </c>
      <c r="D69" s="253" t="s">
        <v>1372</v>
      </c>
      <c r="E69" s="278">
        <f ca="1">$G$18</f>
        <v>0</v>
      </c>
      <c r="F69" s="253" t="s">
        <v>1415</v>
      </c>
      <c r="G69" s="299" t="e">
        <f ca="1">C69/E69</f>
        <v>#DIV/0!</v>
      </c>
      <c r="H69" s="252"/>
    </row>
    <row r="70" spans="2:16" x14ac:dyDescent="0.15">
      <c r="C70" s="1723" t="s">
        <v>1420</v>
      </c>
      <c r="D70" s="1723"/>
      <c r="E70" s="1723" t="s">
        <v>1395</v>
      </c>
      <c r="F70" s="1723"/>
    </row>
    <row r="72" spans="2:16" x14ac:dyDescent="0.15">
      <c r="B72" s="252" t="s">
        <v>1421</v>
      </c>
    </row>
    <row r="73" spans="2:16" s="275" customFormat="1" ht="14.25" thickBot="1" x14ac:dyDescent="0.2">
      <c r="B73" s="252"/>
      <c r="C73" s="252" t="s">
        <v>1422</v>
      </c>
      <c r="D73" s="253"/>
      <c r="E73" s="252"/>
      <c r="F73" s="253"/>
      <c r="G73" s="252"/>
      <c r="H73" s="253"/>
      <c r="I73" s="252"/>
      <c r="J73" s="258"/>
      <c r="K73" s="255"/>
      <c r="L73" s="256"/>
      <c r="M73" s="256"/>
      <c r="N73" s="257"/>
      <c r="O73" s="258"/>
      <c r="P73" s="258"/>
    </row>
    <row r="74" spans="2:16" s="275" customFormat="1" ht="14.25" thickBot="1" x14ac:dyDescent="0.2">
      <c r="B74" s="308" t="s">
        <v>1371</v>
      </c>
      <c r="C74" s="287">
        <f ca="1">調査票!L718</f>
        <v>0</v>
      </c>
      <c r="D74" s="253" t="s">
        <v>1377</v>
      </c>
      <c r="E74" s="287">
        <f ca="1">調査票!L719</f>
        <v>0</v>
      </c>
      <c r="F74" s="253" t="s">
        <v>1414</v>
      </c>
      <c r="G74" s="278">
        <f ca="1">$G$18</f>
        <v>0</v>
      </c>
      <c r="H74" s="253" t="s">
        <v>1415</v>
      </c>
      <c r="I74" s="279" t="e">
        <f ca="1">IF(E74="","",((C74-E74)/G74))</f>
        <v>#DIV/0!</v>
      </c>
      <c r="J74" s="258"/>
      <c r="K74" s="255"/>
      <c r="L74" s="256"/>
      <c r="M74" s="256"/>
      <c r="N74" s="257"/>
      <c r="O74" s="258"/>
      <c r="P74" s="258"/>
    </row>
    <row r="75" spans="2:16" s="275" customFormat="1" x14ac:dyDescent="0.15">
      <c r="B75" s="252"/>
      <c r="C75" s="1723" t="s">
        <v>1423</v>
      </c>
      <c r="D75" s="1723"/>
      <c r="E75" s="1723" t="s">
        <v>1424</v>
      </c>
      <c r="F75" s="1723"/>
      <c r="G75" s="1723" t="s">
        <v>1395</v>
      </c>
      <c r="H75" s="1723"/>
      <c r="I75" s="252"/>
      <c r="J75" s="258"/>
      <c r="K75" s="255"/>
      <c r="L75" s="256"/>
      <c r="M75" s="256"/>
      <c r="N75" s="257"/>
      <c r="O75" s="258"/>
      <c r="P75" s="258"/>
    </row>
    <row r="76" spans="2:16" x14ac:dyDescent="0.15">
      <c r="E76" s="258"/>
    </row>
    <row r="77" spans="2:16" s="275" customFormat="1" x14ac:dyDescent="0.15">
      <c r="B77" s="252" t="s">
        <v>1425</v>
      </c>
      <c r="C77" s="252"/>
      <c r="D77" s="253"/>
      <c r="E77" s="252"/>
      <c r="F77" s="253"/>
      <c r="G77" s="252"/>
      <c r="H77" s="253"/>
      <c r="I77" s="252"/>
      <c r="J77" s="258"/>
      <c r="K77" s="255"/>
      <c r="L77" s="256"/>
      <c r="M77" s="256"/>
      <c r="N77" s="257"/>
      <c r="O77" s="258"/>
      <c r="P77" s="258"/>
    </row>
    <row r="78" spans="2:16" s="275" customFormat="1" ht="14.25" thickBot="1" x14ac:dyDescent="0.2">
      <c r="B78" s="252"/>
      <c r="C78" s="252" t="s">
        <v>1426</v>
      </c>
      <c r="D78" s="253"/>
      <c r="E78" s="252"/>
      <c r="F78" s="253"/>
      <c r="G78" s="252"/>
      <c r="H78" s="253"/>
      <c r="I78" s="252"/>
      <c r="J78" s="258"/>
      <c r="K78" s="255"/>
      <c r="L78" s="256"/>
      <c r="M78" s="256"/>
      <c r="N78" s="257"/>
      <c r="O78" s="258"/>
      <c r="P78" s="258"/>
    </row>
    <row r="79" spans="2:16" s="275" customFormat="1" ht="14.25" thickBot="1" x14ac:dyDescent="0.2">
      <c r="B79" s="252"/>
      <c r="C79" s="287">
        <f ca="1">調査票!L716</f>
        <v>0</v>
      </c>
      <c r="D79" s="253" t="s">
        <v>1372</v>
      </c>
      <c r="E79" s="278">
        <f ca="1">$G$18</f>
        <v>0</v>
      </c>
      <c r="F79" s="253" t="s">
        <v>1415</v>
      </c>
      <c r="G79" s="279" t="e">
        <f ca="1">IF(C79="","",(C79/E79))</f>
        <v>#DIV/0!</v>
      </c>
      <c r="H79" s="252"/>
      <c r="I79" s="252"/>
      <c r="J79" s="258"/>
      <c r="K79" s="255"/>
      <c r="L79" s="256"/>
      <c r="M79" s="256"/>
      <c r="N79" s="257"/>
      <c r="O79" s="258"/>
      <c r="P79" s="258"/>
    </row>
    <row r="80" spans="2:16" s="275" customFormat="1" x14ac:dyDescent="0.15">
      <c r="B80" s="252"/>
      <c r="C80" s="1723" t="s">
        <v>1427</v>
      </c>
      <c r="D80" s="1723"/>
      <c r="E80" s="1723" t="s">
        <v>1395</v>
      </c>
      <c r="F80" s="1723"/>
      <c r="G80" s="252"/>
      <c r="H80" s="253"/>
      <c r="I80" s="252"/>
      <c r="J80" s="258"/>
      <c r="K80" s="255"/>
      <c r="L80" s="256"/>
      <c r="M80" s="256"/>
      <c r="N80" s="257"/>
      <c r="O80" s="258"/>
      <c r="P80" s="258"/>
    </row>
    <row r="81" spans="1:24" x14ac:dyDescent="0.15">
      <c r="K81" s="311"/>
    </row>
    <row r="82" spans="1:24" s="275" customFormat="1" x14ac:dyDescent="0.15">
      <c r="B82" s="252" t="s">
        <v>1428</v>
      </c>
      <c r="C82" s="252"/>
      <c r="D82" s="253"/>
      <c r="E82" s="252"/>
      <c r="F82" s="253"/>
      <c r="G82" s="252"/>
      <c r="H82" s="253"/>
      <c r="I82" s="252"/>
      <c r="J82" s="258"/>
      <c r="K82" s="255"/>
      <c r="L82" s="256"/>
      <c r="M82" s="256"/>
      <c r="N82" s="257"/>
      <c r="O82" s="258"/>
      <c r="P82" s="258"/>
    </row>
    <row r="83" spans="1:24" s="275" customFormat="1" x14ac:dyDescent="0.15">
      <c r="B83" s="252"/>
      <c r="C83" s="252" t="s">
        <v>1429</v>
      </c>
      <c r="D83" s="253"/>
      <c r="E83" s="252"/>
      <c r="F83" s="253"/>
      <c r="G83" s="252"/>
      <c r="H83" s="253"/>
      <c r="I83" s="252"/>
      <c r="J83" s="258"/>
      <c r="K83" s="255"/>
      <c r="L83" s="256"/>
      <c r="M83" s="256"/>
      <c r="N83" s="257"/>
      <c r="O83" s="258"/>
      <c r="P83" s="258"/>
    </row>
    <row r="84" spans="1:24" s="275" customFormat="1" x14ac:dyDescent="0.15">
      <c r="B84" s="308" t="s">
        <v>1371</v>
      </c>
      <c r="C84" s="287">
        <f ca="1">調査票!L712</f>
        <v>0</v>
      </c>
      <c r="D84" s="253" t="s">
        <v>1377</v>
      </c>
      <c r="E84" s="278">
        <f ca="1">E64</f>
        <v>0</v>
      </c>
      <c r="F84" s="253" t="s">
        <v>1377</v>
      </c>
      <c r="G84" s="278">
        <f ca="1">C79</f>
        <v>0</v>
      </c>
      <c r="H84" s="262" t="s">
        <v>1430</v>
      </c>
      <c r="I84" s="252"/>
      <c r="J84" s="258"/>
      <c r="K84" s="255"/>
      <c r="L84" s="256"/>
      <c r="M84" s="256"/>
      <c r="N84" s="257"/>
      <c r="O84" s="258"/>
      <c r="P84" s="258"/>
    </row>
    <row r="85" spans="1:24" s="275" customFormat="1" x14ac:dyDescent="0.15">
      <c r="B85" s="252"/>
      <c r="C85" s="1723" t="s">
        <v>1431</v>
      </c>
      <c r="D85" s="1723"/>
      <c r="E85" s="1723" t="s">
        <v>1417</v>
      </c>
      <c r="F85" s="1723"/>
      <c r="G85" s="1723" t="s">
        <v>1427</v>
      </c>
      <c r="H85" s="1723"/>
      <c r="I85" s="252"/>
      <c r="J85" s="258"/>
      <c r="K85" s="255"/>
      <c r="L85" s="256"/>
      <c r="M85" s="256"/>
      <c r="N85" s="257"/>
      <c r="O85" s="258"/>
      <c r="P85" s="258"/>
    </row>
    <row r="86" spans="1:24" s="275" customFormat="1" ht="6.75" customHeight="1" thickBot="1" x14ac:dyDescent="0.2">
      <c r="B86" s="252"/>
      <c r="C86" s="312"/>
      <c r="D86" s="312"/>
      <c r="E86" s="312"/>
      <c r="F86" s="312"/>
      <c r="G86" s="312"/>
      <c r="H86" s="312"/>
      <c r="I86" s="312"/>
      <c r="J86" s="313"/>
      <c r="K86" s="255"/>
      <c r="L86" s="256"/>
      <c r="M86" s="256"/>
      <c r="N86" s="257"/>
      <c r="O86" s="258"/>
      <c r="P86" s="258"/>
    </row>
    <row r="87" spans="1:24" s="275" customFormat="1" ht="14.25" thickBot="1" x14ac:dyDescent="0.2">
      <c r="B87" s="252"/>
      <c r="C87" s="312"/>
      <c r="D87" s="312"/>
      <c r="E87" s="312"/>
      <c r="F87" s="314" t="s">
        <v>1432</v>
      </c>
      <c r="G87" s="278">
        <f ca="1">$G$18</f>
        <v>0</v>
      </c>
      <c r="H87" s="252" t="s">
        <v>1415</v>
      </c>
      <c r="I87" s="279" t="e">
        <f ca="1">IF(C84="","",((C84-E84-G84)/G87))</f>
        <v>#DIV/0!</v>
      </c>
      <c r="J87" s="315"/>
      <c r="K87" s="255"/>
      <c r="L87" s="256"/>
      <c r="M87" s="256"/>
      <c r="N87" s="257"/>
      <c r="O87" s="258"/>
      <c r="P87" s="258"/>
    </row>
    <row r="88" spans="1:24" s="275" customFormat="1" x14ac:dyDescent="0.15">
      <c r="B88" s="252"/>
      <c r="C88" s="252"/>
      <c r="D88" s="253"/>
      <c r="E88" s="252"/>
      <c r="F88" s="253"/>
      <c r="G88" s="1723" t="s">
        <v>1395</v>
      </c>
      <c r="H88" s="1723"/>
      <c r="I88" s="312"/>
      <c r="J88" s="258"/>
      <c r="K88" s="255"/>
      <c r="L88" s="256"/>
      <c r="M88" s="256"/>
      <c r="N88" s="257"/>
      <c r="O88" s="258"/>
      <c r="P88" s="258"/>
    </row>
    <row r="89" spans="1:24" ht="23.25" customHeight="1" x14ac:dyDescent="0.15">
      <c r="B89" s="309" t="s">
        <v>1433</v>
      </c>
    </row>
    <row r="90" spans="1:24" x14ac:dyDescent="0.15">
      <c r="B90" s="252" t="s">
        <v>1434</v>
      </c>
    </row>
    <row r="91" spans="1:24" ht="14.25" thickBot="1" x14ac:dyDescent="0.2">
      <c r="C91" s="252" t="s">
        <v>1435</v>
      </c>
    </row>
    <row r="92" spans="1:24" ht="14.25" thickBot="1" x14ac:dyDescent="0.2">
      <c r="B92" s="308" t="s">
        <v>1371</v>
      </c>
      <c r="C92" s="278">
        <f ca="1">C64</f>
        <v>0</v>
      </c>
      <c r="D92" s="253" t="s">
        <v>1413</v>
      </c>
      <c r="E92" s="278">
        <f ca="1">E64</f>
        <v>0</v>
      </c>
      <c r="F92" s="253" t="s">
        <v>1414</v>
      </c>
      <c r="G92" s="298">
        <f>$C$33</f>
        <v>0</v>
      </c>
      <c r="H92" s="253" t="s">
        <v>1436</v>
      </c>
      <c r="I92" s="271" t="str">
        <f>IF(G92=0,"",(C92+E92)/G92/12)</f>
        <v/>
      </c>
      <c r="J92" s="252"/>
    </row>
    <row r="93" spans="1:24" x14ac:dyDescent="0.15">
      <c r="C93" s="1723" t="s">
        <v>1416</v>
      </c>
      <c r="D93" s="1723"/>
      <c r="E93" s="1723" t="s">
        <v>1417</v>
      </c>
      <c r="F93" s="1723"/>
      <c r="G93" s="1723" t="s">
        <v>1392</v>
      </c>
      <c r="H93" s="1723"/>
      <c r="I93" s="308" t="s">
        <v>1437</v>
      </c>
    </row>
    <row r="95" spans="1:24" s="257" customFormat="1" x14ac:dyDescent="0.15">
      <c r="A95" s="252"/>
      <c r="B95" s="252" t="s">
        <v>1438</v>
      </c>
      <c r="C95" s="252"/>
      <c r="D95" s="253"/>
      <c r="E95" s="252"/>
      <c r="F95" s="253"/>
      <c r="G95" s="252"/>
      <c r="H95" s="253"/>
      <c r="I95" s="252"/>
      <c r="J95" s="258"/>
      <c r="K95" s="255"/>
      <c r="L95" s="256"/>
      <c r="M95" s="256"/>
      <c r="O95" s="258"/>
      <c r="P95" s="258"/>
      <c r="Q95" s="252"/>
      <c r="R95" s="252"/>
      <c r="S95" s="252"/>
      <c r="T95" s="252"/>
      <c r="U95" s="252"/>
      <c r="V95" s="252"/>
      <c r="W95" s="252"/>
      <c r="X95" s="252"/>
    </row>
    <row r="96" spans="1:24" s="257" customFormat="1" ht="14.25" thickBot="1" x14ac:dyDescent="0.2">
      <c r="A96" s="252"/>
      <c r="B96" s="252"/>
      <c r="C96" s="252" t="s">
        <v>1439</v>
      </c>
      <c r="D96" s="253"/>
      <c r="E96" s="252"/>
      <c r="F96" s="253"/>
      <c r="G96" s="252"/>
      <c r="H96" s="253"/>
      <c r="I96" s="252"/>
      <c r="J96" s="258"/>
      <c r="K96" s="255"/>
      <c r="L96" s="256"/>
      <c r="M96" s="256"/>
      <c r="O96" s="258"/>
      <c r="P96" s="258"/>
      <c r="Q96" s="252"/>
      <c r="R96" s="252"/>
      <c r="S96" s="252"/>
      <c r="T96" s="252"/>
      <c r="U96" s="252"/>
      <c r="V96" s="252"/>
      <c r="W96" s="252"/>
      <c r="X96" s="252"/>
    </row>
    <row r="97" spans="1:24" s="257" customFormat="1" ht="14.25" thickBot="1" x14ac:dyDescent="0.2">
      <c r="A97" s="252"/>
      <c r="B97" s="252"/>
      <c r="C97" s="278">
        <f ca="1">$G$18</f>
        <v>0</v>
      </c>
      <c r="D97" s="253" t="s">
        <v>1372</v>
      </c>
      <c r="E97" s="298">
        <f>$C$33</f>
        <v>0</v>
      </c>
      <c r="F97" s="253" t="s">
        <v>1436</v>
      </c>
      <c r="G97" s="271" t="str">
        <f>IF(E97=0,"",C97/E97/12)</f>
        <v/>
      </c>
      <c r="H97" s="262" t="s">
        <v>1366</v>
      </c>
      <c r="I97" s="252"/>
      <c r="J97" s="258"/>
      <c r="K97" s="255"/>
      <c r="L97" s="256"/>
      <c r="M97" s="256"/>
      <c r="O97" s="258"/>
      <c r="P97" s="258"/>
      <c r="Q97" s="252"/>
      <c r="R97" s="252"/>
      <c r="S97" s="252"/>
      <c r="T97" s="252"/>
      <c r="U97" s="252"/>
      <c r="V97" s="252"/>
      <c r="W97" s="252"/>
      <c r="X97" s="252"/>
    </row>
    <row r="98" spans="1:24" s="257" customFormat="1" x14ac:dyDescent="0.15">
      <c r="A98" s="252"/>
      <c r="B98" s="252"/>
      <c r="C98" s="1723" t="s">
        <v>1395</v>
      </c>
      <c r="D98" s="1723"/>
      <c r="E98" s="1723" t="s">
        <v>1392</v>
      </c>
      <c r="F98" s="1723"/>
      <c r="G98" s="252"/>
      <c r="H98" s="253"/>
      <c r="I98" s="252"/>
      <c r="J98" s="258"/>
      <c r="K98" s="311"/>
      <c r="L98" s="256"/>
      <c r="M98" s="256"/>
      <c r="O98" s="258"/>
      <c r="P98" s="258"/>
      <c r="Q98" s="252"/>
      <c r="R98" s="252"/>
      <c r="S98" s="252"/>
      <c r="T98" s="252"/>
      <c r="U98" s="252"/>
      <c r="V98" s="252"/>
      <c r="W98" s="252"/>
      <c r="X98" s="252"/>
    </row>
    <row r="99" spans="1:24" s="257" customFormat="1" x14ac:dyDescent="0.15">
      <c r="A99" s="252"/>
      <c r="B99" s="252"/>
      <c r="C99" s="252"/>
      <c r="D99" s="253"/>
      <c r="E99" s="252"/>
      <c r="F99" s="253"/>
      <c r="G99" s="252"/>
      <c r="H99" s="253"/>
      <c r="I99" s="252"/>
      <c r="J99" s="258"/>
      <c r="K99" s="311"/>
      <c r="L99" s="311"/>
      <c r="M99" s="256"/>
      <c r="O99" s="258"/>
      <c r="P99" s="258"/>
      <c r="Q99" s="252"/>
      <c r="R99" s="252"/>
      <c r="S99" s="252"/>
      <c r="T99" s="252"/>
      <c r="U99" s="252"/>
      <c r="V99" s="252"/>
      <c r="W99" s="252"/>
      <c r="X99" s="252"/>
    </row>
    <row r="100" spans="1:24" s="257" customFormat="1" x14ac:dyDescent="0.15">
      <c r="A100" s="252"/>
      <c r="B100" s="252" t="s">
        <v>1440</v>
      </c>
      <c r="C100" s="252"/>
      <c r="D100" s="253"/>
      <c r="E100" s="252"/>
      <c r="F100" s="253"/>
      <c r="G100" s="252"/>
      <c r="H100" s="253"/>
      <c r="I100" s="252"/>
      <c r="J100" s="258"/>
      <c r="K100" s="255"/>
      <c r="L100" s="311"/>
      <c r="M100" s="256"/>
      <c r="O100" s="258"/>
      <c r="P100" s="258"/>
      <c r="Q100" s="252"/>
      <c r="R100" s="252"/>
      <c r="S100" s="252"/>
      <c r="T100" s="252"/>
      <c r="U100" s="252"/>
      <c r="V100" s="252"/>
      <c r="W100" s="252"/>
      <c r="X100" s="252"/>
    </row>
    <row r="101" spans="1:24" s="257" customFormat="1" ht="30" customHeight="1" x14ac:dyDescent="0.15">
      <c r="A101" s="252"/>
      <c r="B101" s="252"/>
      <c r="C101" s="1727" t="s">
        <v>1441</v>
      </c>
      <c r="D101" s="1728"/>
      <c r="E101" s="1728"/>
      <c r="F101" s="1728"/>
      <c r="G101" s="1728"/>
      <c r="H101" s="1728"/>
      <c r="I101" s="1728"/>
      <c r="J101" s="1728"/>
      <c r="K101" s="255"/>
      <c r="L101" s="256"/>
      <c r="M101" s="256"/>
      <c r="O101" s="258"/>
      <c r="P101" s="258"/>
      <c r="Q101" s="252"/>
      <c r="R101" s="252"/>
      <c r="S101" s="252"/>
      <c r="T101" s="252"/>
      <c r="U101" s="252"/>
      <c r="V101" s="252"/>
      <c r="W101" s="252"/>
      <c r="X101" s="252"/>
    </row>
    <row r="102" spans="1:24" s="257" customFormat="1" x14ac:dyDescent="0.15">
      <c r="A102" s="252"/>
      <c r="B102" s="308" t="s">
        <v>1371</v>
      </c>
      <c r="C102" s="278">
        <f ca="1">$G$18</f>
        <v>0</v>
      </c>
      <c r="D102" s="253" t="s">
        <v>1442</v>
      </c>
      <c r="E102" s="278">
        <f ca="1">$C$69</f>
        <v>0</v>
      </c>
      <c r="F102" s="253" t="s">
        <v>1413</v>
      </c>
      <c r="G102" s="278">
        <f ca="1">$C$79</f>
        <v>0</v>
      </c>
      <c r="H102" s="253" t="s">
        <v>1413</v>
      </c>
      <c r="I102" s="278">
        <f ca="1">$C$74</f>
        <v>0</v>
      </c>
      <c r="J102" s="258"/>
      <c r="K102" s="255"/>
      <c r="L102" s="256"/>
      <c r="M102" s="256"/>
      <c r="O102" s="258"/>
      <c r="P102" s="258"/>
      <c r="Q102" s="252"/>
      <c r="R102" s="252"/>
      <c r="S102" s="252"/>
      <c r="T102" s="252"/>
      <c r="U102" s="252"/>
      <c r="V102" s="252"/>
      <c r="W102" s="252"/>
      <c r="X102" s="252"/>
    </row>
    <row r="103" spans="1:24" s="257" customFormat="1" x14ac:dyDescent="0.15">
      <c r="A103" s="252"/>
      <c r="B103" s="252"/>
      <c r="C103" s="1723" t="s">
        <v>1395</v>
      </c>
      <c r="D103" s="1723"/>
      <c r="E103" s="1723" t="s">
        <v>1420</v>
      </c>
      <c r="F103" s="1723"/>
      <c r="G103" s="1723" t="s">
        <v>1427</v>
      </c>
      <c r="H103" s="1723"/>
      <c r="I103" s="1723" t="s">
        <v>1423</v>
      </c>
      <c r="J103" s="1723"/>
      <c r="K103" s="255"/>
      <c r="L103" s="256"/>
      <c r="M103" s="256"/>
      <c r="O103" s="258"/>
      <c r="P103" s="258"/>
      <c r="Q103" s="252"/>
      <c r="R103" s="252"/>
      <c r="S103" s="252"/>
      <c r="T103" s="252"/>
      <c r="U103" s="252"/>
      <c r="V103" s="252"/>
      <c r="W103" s="252"/>
      <c r="X103" s="252"/>
    </row>
    <row r="104" spans="1:24" s="257" customFormat="1" ht="6.75" customHeight="1" thickBot="1" x14ac:dyDescent="0.2">
      <c r="A104" s="252"/>
      <c r="B104" s="252"/>
      <c r="C104" s="312"/>
      <c r="D104" s="312"/>
      <c r="E104" s="312"/>
      <c r="F104" s="312"/>
      <c r="G104" s="312"/>
      <c r="H104" s="312"/>
      <c r="I104" s="312"/>
      <c r="J104" s="313"/>
      <c r="K104" s="255"/>
      <c r="L104" s="256"/>
      <c r="M104" s="256"/>
      <c r="O104" s="258"/>
      <c r="P104" s="258"/>
      <c r="Q104" s="252"/>
      <c r="R104" s="252"/>
      <c r="S104" s="252"/>
      <c r="T104" s="252"/>
      <c r="U104" s="252"/>
      <c r="V104" s="252"/>
      <c r="W104" s="252"/>
      <c r="X104" s="252"/>
    </row>
    <row r="105" spans="1:24" s="257" customFormat="1" ht="14.25" thickBot="1" x14ac:dyDescent="0.2">
      <c r="A105" s="252"/>
      <c r="B105" s="252"/>
      <c r="C105" s="312"/>
      <c r="D105" s="252" t="s">
        <v>1377</v>
      </c>
      <c r="E105" s="278">
        <f ca="1">E74</f>
        <v>0</v>
      </c>
      <c r="F105" s="252" t="s">
        <v>1443</v>
      </c>
      <c r="G105" s="298">
        <f>$C$33</f>
        <v>0</v>
      </c>
      <c r="H105" s="252" t="s">
        <v>1436</v>
      </c>
      <c r="I105" s="271" t="str">
        <f>IF(G105=0,"",(C102-(E102+G102+I102-E105))/G105/12)</f>
        <v/>
      </c>
      <c r="J105" s="252"/>
      <c r="K105" s="255"/>
      <c r="L105" s="256"/>
      <c r="M105" s="256"/>
      <c r="O105" s="258"/>
      <c r="P105" s="258"/>
      <c r="Q105" s="252"/>
      <c r="R105" s="252"/>
      <c r="S105" s="252"/>
      <c r="T105" s="252"/>
      <c r="U105" s="252"/>
      <c r="V105" s="252"/>
      <c r="W105" s="252"/>
      <c r="X105" s="252"/>
    </row>
    <row r="106" spans="1:24" s="257" customFormat="1" x14ac:dyDescent="0.15">
      <c r="A106" s="252"/>
      <c r="B106" s="252"/>
      <c r="C106" s="252"/>
      <c r="D106" s="253"/>
      <c r="E106" s="1723" t="s">
        <v>1424</v>
      </c>
      <c r="F106" s="1723"/>
      <c r="G106" s="1723" t="s">
        <v>1408</v>
      </c>
      <c r="H106" s="1723"/>
      <c r="I106" s="308" t="s">
        <v>1437</v>
      </c>
      <c r="J106" s="258"/>
      <c r="K106" s="255"/>
      <c r="L106" s="256"/>
      <c r="M106" s="256"/>
      <c r="O106" s="258"/>
      <c r="P106" s="258"/>
      <c r="Q106" s="252"/>
      <c r="R106" s="252"/>
      <c r="S106" s="252"/>
      <c r="T106" s="252"/>
      <c r="U106" s="252"/>
      <c r="V106" s="252"/>
      <c r="W106" s="252"/>
      <c r="X106" s="252"/>
    </row>
    <row r="107" spans="1:24" s="257" customFormat="1" x14ac:dyDescent="0.15">
      <c r="A107" s="252"/>
      <c r="B107" s="252" t="s">
        <v>1444</v>
      </c>
      <c r="C107" s="252"/>
      <c r="D107" s="253"/>
      <c r="E107" s="252"/>
      <c r="F107" s="253"/>
      <c r="G107" s="252"/>
      <c r="H107" s="253"/>
      <c r="I107" s="252"/>
      <c r="J107" s="258"/>
      <c r="K107" s="255"/>
      <c r="L107" s="256"/>
      <c r="M107" s="311"/>
      <c r="O107" s="258"/>
      <c r="P107" s="258"/>
      <c r="Q107" s="252"/>
      <c r="R107" s="252"/>
      <c r="S107" s="252"/>
      <c r="T107" s="252"/>
      <c r="U107" s="252"/>
      <c r="V107" s="252"/>
      <c r="W107" s="252"/>
      <c r="X107" s="252"/>
    </row>
    <row r="108" spans="1:24" s="257" customFormat="1" ht="14.25" thickBot="1" x14ac:dyDescent="0.2">
      <c r="A108" s="252"/>
      <c r="B108" s="252"/>
      <c r="C108" s="252" t="s">
        <v>1445</v>
      </c>
      <c r="D108" s="253"/>
      <c r="E108" s="252"/>
      <c r="F108" s="253"/>
      <c r="G108" s="252"/>
      <c r="H108" s="253"/>
      <c r="I108" s="252"/>
      <c r="J108" s="258"/>
      <c r="K108" s="255"/>
      <c r="L108" s="256"/>
      <c r="M108" s="311"/>
      <c r="O108" s="258"/>
      <c r="P108" s="258"/>
      <c r="Q108" s="252"/>
      <c r="R108" s="252"/>
      <c r="S108" s="252"/>
      <c r="T108" s="252"/>
      <c r="U108" s="252"/>
      <c r="V108" s="252"/>
      <c r="W108" s="252"/>
      <c r="X108" s="252"/>
    </row>
    <row r="109" spans="1:24" s="257" customFormat="1" ht="14.25" thickBot="1" x14ac:dyDescent="0.2">
      <c r="A109" s="252"/>
      <c r="B109" s="252"/>
      <c r="C109" s="278" t="str">
        <f>I92</f>
        <v/>
      </c>
      <c r="D109" s="253" t="s">
        <v>1372</v>
      </c>
      <c r="E109" s="278" t="str">
        <f>I105</f>
        <v/>
      </c>
      <c r="F109" s="253" t="s">
        <v>1415</v>
      </c>
      <c r="G109" s="299" t="str">
        <f>IF(C109="","",C109/E109)</f>
        <v/>
      </c>
      <c r="H109" s="262"/>
      <c r="I109" s="252"/>
      <c r="J109" s="258"/>
      <c r="K109" s="255"/>
      <c r="L109" s="256"/>
      <c r="M109" s="256"/>
      <c r="O109" s="258"/>
      <c r="P109" s="258"/>
      <c r="Q109" s="252"/>
      <c r="R109" s="252"/>
      <c r="S109" s="252"/>
      <c r="T109" s="252"/>
      <c r="U109" s="252"/>
      <c r="V109" s="252"/>
      <c r="W109" s="252"/>
      <c r="X109" s="252"/>
    </row>
    <row r="110" spans="1:24" s="257" customFormat="1" x14ac:dyDescent="0.15">
      <c r="A110" s="252"/>
      <c r="B110" s="252"/>
      <c r="C110" s="1723" t="s">
        <v>1449</v>
      </c>
      <c r="D110" s="1723"/>
      <c r="E110" s="1723" t="s">
        <v>1450</v>
      </c>
      <c r="F110" s="1723"/>
      <c r="G110" s="252"/>
      <c r="H110" s="253"/>
      <c r="I110" s="252"/>
      <c r="J110" s="258"/>
      <c r="K110" s="255"/>
      <c r="L110" s="256"/>
      <c r="M110" s="256"/>
      <c r="O110" s="258"/>
      <c r="P110" s="258"/>
      <c r="Q110" s="252"/>
      <c r="R110" s="252"/>
      <c r="S110" s="252"/>
      <c r="T110" s="252"/>
      <c r="U110" s="252"/>
      <c r="V110" s="252"/>
      <c r="W110" s="252"/>
      <c r="X110" s="252"/>
    </row>
    <row r="112" spans="1:24" s="259" customFormat="1" x14ac:dyDescent="0.15">
      <c r="D112" s="260"/>
      <c r="F112" s="260"/>
      <c r="H112" s="260"/>
      <c r="J112" s="261"/>
      <c r="K112" s="255"/>
      <c r="L112" s="256"/>
      <c r="M112" s="256"/>
      <c r="N112" s="257"/>
      <c r="O112" s="261"/>
      <c r="P112" s="261"/>
    </row>
    <row r="113" spans="1:24" s="276" customFormat="1" x14ac:dyDescent="0.15">
      <c r="B113" s="1724"/>
      <c r="C113" s="1724"/>
      <c r="D113" s="1724"/>
      <c r="E113" s="1724"/>
      <c r="F113" s="1724"/>
      <c r="G113" s="1724"/>
      <c r="H113" s="1724"/>
      <c r="I113" s="1724"/>
      <c r="J113" s="1724"/>
      <c r="K113" s="296"/>
      <c r="L113" s="256"/>
      <c r="M113" s="256"/>
      <c r="N113" s="257"/>
      <c r="O113" s="261"/>
      <c r="P113" s="261"/>
    </row>
    <row r="114" spans="1:24" s="276" customFormat="1" x14ac:dyDescent="0.15">
      <c r="B114" s="259"/>
      <c r="C114" s="259"/>
      <c r="D114" s="260"/>
      <c r="E114" s="259"/>
      <c r="F114" s="260"/>
      <c r="G114" s="259"/>
      <c r="H114" s="260"/>
      <c r="I114" s="259"/>
      <c r="J114" s="261"/>
      <c r="K114" s="297"/>
      <c r="L114" s="256"/>
      <c r="M114" s="256"/>
      <c r="N114" s="257"/>
      <c r="O114" s="261"/>
      <c r="P114" s="261"/>
    </row>
    <row r="115" spans="1:24" s="276" customFormat="1" x14ac:dyDescent="0.15">
      <c r="B115" s="259"/>
      <c r="C115" s="303"/>
      <c r="D115" s="260"/>
      <c r="E115" s="303"/>
      <c r="F115" s="260"/>
      <c r="G115" s="316"/>
      <c r="H115" s="263"/>
      <c r="I115" s="259"/>
      <c r="J115" s="261"/>
      <c r="K115" s="302"/>
      <c r="L115" s="256"/>
      <c r="M115" s="256"/>
      <c r="N115" s="257"/>
      <c r="O115" s="261"/>
      <c r="P115" s="261"/>
    </row>
    <row r="116" spans="1:24" s="276" customFormat="1" x14ac:dyDescent="0.15">
      <c r="B116" s="259"/>
      <c r="C116" s="1725"/>
      <c r="D116" s="1725"/>
      <c r="E116" s="1726"/>
      <c r="F116" s="1726"/>
      <c r="G116" s="303"/>
      <c r="H116" s="260"/>
      <c r="I116" s="259"/>
      <c r="J116" s="261"/>
      <c r="K116" s="297"/>
      <c r="L116" s="256"/>
      <c r="M116" s="256"/>
      <c r="N116" s="257"/>
      <c r="O116" s="261"/>
      <c r="P116" s="261"/>
    </row>
    <row r="117" spans="1:24" s="259" customFormat="1" x14ac:dyDescent="0.15">
      <c r="D117" s="260"/>
      <c r="F117" s="260"/>
      <c r="H117" s="260"/>
      <c r="J117" s="261"/>
      <c r="K117" s="302"/>
      <c r="L117" s="256"/>
      <c r="M117" s="256"/>
      <c r="N117" s="257"/>
      <c r="O117" s="261"/>
      <c r="P117" s="261"/>
    </row>
    <row r="118" spans="1:24" s="275" customFormat="1" hidden="1" x14ac:dyDescent="0.15">
      <c r="B118" s="252" t="s">
        <v>1396</v>
      </c>
      <c r="C118" s="252"/>
      <c r="D118" s="253"/>
      <c r="E118" s="252"/>
      <c r="F118" s="253"/>
      <c r="G118" s="252"/>
      <c r="H118" s="253"/>
      <c r="I118" s="252"/>
      <c r="J118" s="258"/>
      <c r="K118" s="296"/>
      <c r="L118" s="256"/>
      <c r="M118" s="256"/>
      <c r="N118" s="257"/>
      <c r="O118" s="258"/>
      <c r="P118" s="258"/>
    </row>
    <row r="119" spans="1:24" s="275" customFormat="1" hidden="1" x14ac:dyDescent="0.15">
      <c r="B119" s="252"/>
      <c r="C119" s="252" t="s">
        <v>1446</v>
      </c>
      <c r="D119" s="253"/>
      <c r="E119" s="252"/>
      <c r="F119" s="253"/>
      <c r="G119" s="252"/>
      <c r="H119" s="253"/>
      <c r="I119" s="252"/>
      <c r="J119" s="258"/>
      <c r="K119" s="297"/>
      <c r="L119" s="256"/>
      <c r="M119" s="256"/>
      <c r="N119" s="257"/>
      <c r="O119" s="258"/>
      <c r="P119" s="258"/>
    </row>
    <row r="120" spans="1:24" s="275" customFormat="1" ht="14.25" hidden="1" thickBot="1" x14ac:dyDescent="0.2">
      <c r="B120" s="252"/>
      <c r="C120" s="278">
        <f>C115</f>
        <v>0</v>
      </c>
      <c r="D120" s="253" t="s">
        <v>1372</v>
      </c>
      <c r="E120" s="287">
        <f>(L37+L38)</f>
        <v>0</v>
      </c>
      <c r="F120" s="253" t="s">
        <v>1378</v>
      </c>
      <c r="G120" s="301" t="e">
        <f>IF(E120="","",C120/E120)</f>
        <v>#DIV/0!</v>
      </c>
      <c r="H120" s="262" t="s">
        <v>1366</v>
      </c>
      <c r="I120" s="252"/>
      <c r="J120" s="258"/>
      <c r="K120" s="302"/>
      <c r="L120" s="256"/>
      <c r="M120" s="256"/>
      <c r="N120" s="257"/>
      <c r="O120" s="258"/>
      <c r="P120" s="258"/>
    </row>
    <row r="121" spans="1:24" s="275" customFormat="1" hidden="1" x14ac:dyDescent="0.15">
      <c r="B121" s="252"/>
      <c r="C121" s="1723" t="s">
        <v>1447</v>
      </c>
      <c r="D121" s="1723"/>
      <c r="E121" s="1723" t="s">
        <v>1398</v>
      </c>
      <c r="F121" s="1723"/>
      <c r="G121" s="252"/>
      <c r="H121" s="253"/>
      <c r="I121" s="252"/>
      <c r="J121" s="258"/>
      <c r="K121" s="297"/>
      <c r="L121" s="256"/>
      <c r="M121" s="256"/>
      <c r="N121" s="257"/>
      <c r="O121" s="258"/>
      <c r="P121" s="258"/>
    </row>
    <row r="122" spans="1:24" hidden="1" x14ac:dyDescent="0.15">
      <c r="K122" s="302"/>
    </row>
    <row r="123" spans="1:24" s="275" customFormat="1" hidden="1" x14ac:dyDescent="0.15">
      <c r="B123" s="252" t="s">
        <v>1399</v>
      </c>
      <c r="C123" s="252"/>
      <c r="D123" s="253"/>
      <c r="E123" s="252"/>
      <c r="F123" s="253"/>
      <c r="G123" s="252"/>
      <c r="H123" s="253"/>
      <c r="I123" s="252"/>
      <c r="J123" s="258"/>
      <c r="K123" s="304"/>
      <c r="L123" s="256"/>
      <c r="M123" s="256"/>
      <c r="N123" s="257"/>
      <c r="O123" s="258"/>
      <c r="P123" s="258"/>
    </row>
    <row r="124" spans="1:24" s="275" customFormat="1" hidden="1" x14ac:dyDescent="0.15">
      <c r="B124" s="252"/>
      <c r="C124" s="252" t="s">
        <v>1448</v>
      </c>
      <c r="D124" s="253"/>
      <c r="E124" s="252"/>
      <c r="F124" s="253"/>
      <c r="G124" s="252"/>
      <c r="H124" s="253"/>
      <c r="I124" s="252"/>
      <c r="J124" s="258"/>
      <c r="K124" s="304"/>
      <c r="L124" s="256"/>
      <c r="M124" s="256"/>
      <c r="N124" s="257"/>
      <c r="O124" s="258"/>
      <c r="P124" s="258"/>
    </row>
    <row r="125" spans="1:24" s="275" customFormat="1" ht="14.25" hidden="1" thickBot="1" x14ac:dyDescent="0.2">
      <c r="B125" s="252"/>
      <c r="C125" s="278">
        <f>C120</f>
        <v>0</v>
      </c>
      <c r="D125" s="253" t="s">
        <v>1372</v>
      </c>
      <c r="E125" s="287">
        <f>(L42+L43)</f>
        <v>0</v>
      </c>
      <c r="F125" s="253" t="s">
        <v>1378</v>
      </c>
      <c r="G125" s="301" t="e">
        <f>IF(E125="","",C125/E125)</f>
        <v>#DIV/0!</v>
      </c>
      <c r="H125" s="262" t="s">
        <v>1366</v>
      </c>
      <c r="I125" s="252"/>
      <c r="J125" s="258"/>
      <c r="K125" s="304"/>
      <c r="L125" s="256"/>
      <c r="M125" s="256"/>
      <c r="N125" s="257"/>
      <c r="O125" s="258"/>
      <c r="P125" s="258"/>
    </row>
    <row r="126" spans="1:24" s="275" customFormat="1" hidden="1" x14ac:dyDescent="0.15">
      <c r="B126" s="252"/>
      <c r="C126" s="1723" t="s">
        <v>1447</v>
      </c>
      <c r="D126" s="1723"/>
      <c r="E126" s="1723" t="s">
        <v>1401</v>
      </c>
      <c r="F126" s="1723"/>
      <c r="G126" s="252"/>
      <c r="H126" s="253"/>
      <c r="I126" s="252"/>
      <c r="J126" s="258"/>
      <c r="K126" s="304"/>
      <c r="L126" s="256"/>
      <c r="M126" s="256"/>
      <c r="N126" s="257"/>
      <c r="O126" s="258"/>
      <c r="P126" s="258"/>
    </row>
    <row r="127" spans="1:24" s="256" customFormat="1" x14ac:dyDescent="0.15">
      <c r="A127" s="252"/>
      <c r="B127" s="252"/>
      <c r="C127" s="252"/>
      <c r="D127" s="253"/>
      <c r="E127" s="252"/>
      <c r="F127" s="253"/>
      <c r="G127" s="252"/>
      <c r="H127" s="253"/>
      <c r="I127" s="252"/>
      <c r="J127" s="258"/>
      <c r="K127" s="296"/>
      <c r="N127" s="257"/>
      <c r="O127" s="258"/>
      <c r="P127" s="258"/>
      <c r="Q127" s="252"/>
      <c r="R127" s="252"/>
      <c r="S127" s="252"/>
      <c r="T127" s="252"/>
      <c r="U127" s="252"/>
      <c r="V127" s="252"/>
      <c r="W127" s="252"/>
      <c r="X127" s="252"/>
    </row>
  </sheetData>
  <sheetProtection algorithmName="SHA-512" hashValue="iWvgRDO8Ij2AWOgHhXtePbrPNsOB2iFtDahyUzjDnQiXzlZz+PDLXFQxqUpnOFe742z3Gl0W4Tk3ubyA7Y+0Yw==" saltValue="nigSqTf+p65dHGfjRyShWw==" spinCount="100000" sheet="1" objects="1" scenarios="1"/>
  <mergeCells count="62">
    <mergeCell ref="C22:J22"/>
    <mergeCell ref="B5:F5"/>
    <mergeCell ref="B7:F7"/>
    <mergeCell ref="B9:F9"/>
    <mergeCell ref="C12:J12"/>
    <mergeCell ref="B21:F21"/>
    <mergeCell ref="C39:D39"/>
    <mergeCell ref="E39:F39"/>
    <mergeCell ref="C24:D24"/>
    <mergeCell ref="E24:F24"/>
    <mergeCell ref="B26:F26"/>
    <mergeCell ref="C27:J27"/>
    <mergeCell ref="C29:D29"/>
    <mergeCell ref="E29:F29"/>
    <mergeCell ref="B31:F31"/>
    <mergeCell ref="G31:J31"/>
    <mergeCell ref="C34:D34"/>
    <mergeCell ref="E34:F34"/>
    <mergeCell ref="B36:J36"/>
    <mergeCell ref="C44:D44"/>
    <mergeCell ref="E44:F44"/>
    <mergeCell ref="C49:D49"/>
    <mergeCell ref="E49:F49"/>
    <mergeCell ref="C54:D54"/>
    <mergeCell ref="E54:F54"/>
    <mergeCell ref="C85:D85"/>
    <mergeCell ref="E85:F85"/>
    <mergeCell ref="G85:H85"/>
    <mergeCell ref="C59:D59"/>
    <mergeCell ref="E59:F59"/>
    <mergeCell ref="C65:D65"/>
    <mergeCell ref="E65:F65"/>
    <mergeCell ref="G65:H65"/>
    <mergeCell ref="C70:D70"/>
    <mergeCell ref="E70:F70"/>
    <mergeCell ref="C75:D75"/>
    <mergeCell ref="E75:F75"/>
    <mergeCell ref="G75:H75"/>
    <mergeCell ref="C80:D80"/>
    <mergeCell ref="E80:F80"/>
    <mergeCell ref="E106:F106"/>
    <mergeCell ref="G106:H106"/>
    <mergeCell ref="G88:H88"/>
    <mergeCell ref="C93:D93"/>
    <mergeCell ref="E93:F93"/>
    <mergeCell ref="G93:H93"/>
    <mergeCell ref="C98:D98"/>
    <mergeCell ref="E98:F98"/>
    <mergeCell ref="C101:J101"/>
    <mergeCell ref="C103:D103"/>
    <mergeCell ref="E103:F103"/>
    <mergeCell ref="G103:H103"/>
    <mergeCell ref="I103:J103"/>
    <mergeCell ref="C126:D126"/>
    <mergeCell ref="E126:F126"/>
    <mergeCell ref="C110:D110"/>
    <mergeCell ref="E110:F110"/>
    <mergeCell ref="B113:J113"/>
    <mergeCell ref="C116:D116"/>
    <mergeCell ref="E116:F116"/>
    <mergeCell ref="C121:D121"/>
    <mergeCell ref="E121:F121"/>
  </mergeCells>
  <phoneticPr fontId="27"/>
  <pageMargins left="0.70866141732283472" right="0.23622047244094491" top="0.74803149606299213" bottom="1.5354330708661419" header="0.31496062992125984" footer="0.31496062992125984"/>
  <pageSetup paperSize="9" fitToHeight="3" orientation="portrait" r:id="rId1"/>
  <headerFooter>
    <oddFooter>&amp;CCopyright © Kawahara Business Management Group. All Rights Reserved</oddFooter>
  </headerFooter>
  <rowBreaks count="2" manualBreakCount="2">
    <brk id="60" min="1" max="9" man="1"/>
    <brk id="111"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6C141-6B65-4A27-B63F-6509A75ABDEA}">
  <sheetPr codeName="Sheet10"/>
  <dimension ref="A3:A20"/>
  <sheetViews>
    <sheetView workbookViewId="0">
      <selection activeCell="C24" sqref="C24"/>
    </sheetView>
  </sheetViews>
  <sheetFormatPr defaultRowHeight="13.5" x14ac:dyDescent="0.15"/>
  <sheetData>
    <row r="3" spans="1:1" x14ac:dyDescent="0.15">
      <c r="A3" s="138" t="s">
        <v>1744</v>
      </c>
    </row>
    <row r="4" spans="1:1" x14ac:dyDescent="0.15">
      <c r="A4" s="138" t="s">
        <v>1961</v>
      </c>
    </row>
    <row r="5" spans="1:1" x14ac:dyDescent="0.15">
      <c r="A5" s="138" t="s">
        <v>1743</v>
      </c>
    </row>
    <row r="6" spans="1:1" x14ac:dyDescent="0.15">
      <c r="A6" s="138"/>
    </row>
    <row r="7" spans="1:1" x14ac:dyDescent="0.15">
      <c r="A7" s="138"/>
    </row>
    <row r="8" spans="1:1" x14ac:dyDescent="0.15">
      <c r="A8" s="138"/>
    </row>
    <row r="9" spans="1:1" x14ac:dyDescent="0.15">
      <c r="A9" s="138"/>
    </row>
    <row r="10" spans="1:1" x14ac:dyDescent="0.15">
      <c r="A10" s="138"/>
    </row>
    <row r="11" spans="1:1" x14ac:dyDescent="0.15">
      <c r="A11" s="138"/>
    </row>
    <row r="12" spans="1:1" x14ac:dyDescent="0.15">
      <c r="A12" s="138"/>
    </row>
    <row r="13" spans="1:1" x14ac:dyDescent="0.15">
      <c r="A13" s="138"/>
    </row>
    <row r="14" spans="1:1" x14ac:dyDescent="0.15">
      <c r="A14" s="138"/>
    </row>
    <row r="15" spans="1:1" x14ac:dyDescent="0.15">
      <c r="A15" s="138"/>
    </row>
    <row r="16" spans="1:1" x14ac:dyDescent="0.15">
      <c r="A16" s="138"/>
    </row>
    <row r="17" spans="1:1" x14ac:dyDescent="0.15">
      <c r="A17" s="138"/>
    </row>
    <row r="18" spans="1:1" x14ac:dyDescent="0.15">
      <c r="A18" s="138"/>
    </row>
    <row r="19" spans="1:1" x14ac:dyDescent="0.15">
      <c r="A19" s="134"/>
    </row>
    <row r="20" spans="1:1" x14ac:dyDescent="0.15">
      <c r="A20" s="134"/>
    </row>
  </sheetData>
  <phoneticPr fontId="2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8"/>
  </sheetPr>
  <dimension ref="A1:G46"/>
  <sheetViews>
    <sheetView view="pageBreakPreview" topLeftCell="A28" zoomScaleNormal="100" zoomScaleSheetLayoutView="100" workbookViewId="0">
      <selection sqref="A1:U1"/>
    </sheetView>
  </sheetViews>
  <sheetFormatPr defaultColWidth="9" defaultRowHeight="13.5" x14ac:dyDescent="0.15"/>
  <cols>
    <col min="1" max="1" width="3.375" style="161" customWidth="1"/>
    <col min="2" max="2" width="33.625" style="161" customWidth="1"/>
    <col min="3" max="4" width="35.625" style="161" customWidth="1"/>
    <col min="5" max="5" width="10.625" style="161" customWidth="1"/>
    <col min="6" max="16384" width="9" style="161"/>
  </cols>
  <sheetData>
    <row r="1" spans="1:7" ht="36.75" customHeight="1" x14ac:dyDescent="0.15">
      <c r="A1" s="1742" t="s">
        <v>716</v>
      </c>
      <c r="B1" s="1742"/>
      <c r="C1" s="1742"/>
      <c r="D1" s="1742"/>
    </row>
    <row r="2" spans="1:7" ht="17.25" x14ac:dyDescent="0.2">
      <c r="A2" s="162"/>
      <c r="B2" s="163"/>
      <c r="C2" s="163"/>
      <c r="D2" s="163"/>
      <c r="E2" s="164"/>
      <c r="F2" s="164"/>
    </row>
    <row r="3" spans="1:7" ht="24" x14ac:dyDescent="0.15">
      <c r="A3" s="1743" t="s">
        <v>717</v>
      </c>
      <c r="B3" s="1743"/>
      <c r="C3" s="1744" t="s">
        <v>718</v>
      </c>
      <c r="D3" s="1744"/>
    </row>
    <row r="4" spans="1:7" ht="63.75" customHeight="1" x14ac:dyDescent="0.15">
      <c r="A4" s="1743"/>
      <c r="B4" s="1743"/>
      <c r="C4" s="1745" t="s">
        <v>719</v>
      </c>
      <c r="D4" s="1745"/>
    </row>
    <row r="5" spans="1:7" ht="39.950000000000003" customHeight="1" x14ac:dyDescent="0.15">
      <c r="A5" s="1746" t="s">
        <v>720</v>
      </c>
      <c r="B5" s="1746"/>
      <c r="C5" s="1735"/>
      <c r="D5" s="1736"/>
      <c r="E5" s="165"/>
    </row>
    <row r="6" spans="1:7" ht="39.950000000000003" customHeight="1" x14ac:dyDescent="0.15">
      <c r="A6" s="166" t="s">
        <v>97</v>
      </c>
      <c r="B6" s="167" t="s">
        <v>721</v>
      </c>
      <c r="C6" s="1740" t="s">
        <v>722</v>
      </c>
      <c r="D6" s="1740"/>
      <c r="E6" s="165"/>
    </row>
    <row r="7" spans="1:7" ht="39.950000000000003" customHeight="1" x14ac:dyDescent="0.15">
      <c r="A7" s="166" t="s">
        <v>98</v>
      </c>
      <c r="B7" s="167" t="s">
        <v>723</v>
      </c>
      <c r="C7" s="1741" t="s">
        <v>724</v>
      </c>
      <c r="D7" s="1737"/>
      <c r="E7" s="165"/>
    </row>
    <row r="8" spans="1:7" ht="39.950000000000003" customHeight="1" x14ac:dyDescent="0.15">
      <c r="A8" s="166" t="s">
        <v>725</v>
      </c>
      <c r="B8" s="167" t="s">
        <v>726</v>
      </c>
      <c r="C8" s="1740" t="s">
        <v>538</v>
      </c>
      <c r="D8" s="1740"/>
      <c r="E8" s="165"/>
      <c r="F8" s="168"/>
      <c r="G8" s="168"/>
    </row>
    <row r="9" spans="1:7" ht="39.950000000000003" customHeight="1" x14ac:dyDescent="0.15">
      <c r="A9" s="166" t="s">
        <v>727</v>
      </c>
      <c r="B9" s="167" t="s">
        <v>728</v>
      </c>
      <c r="C9" s="1740" t="s">
        <v>729</v>
      </c>
      <c r="D9" s="1740"/>
      <c r="E9" s="165"/>
      <c r="F9" s="168"/>
      <c r="G9" s="168"/>
    </row>
    <row r="10" spans="1:7" ht="39.950000000000003" customHeight="1" x14ac:dyDescent="0.15">
      <c r="A10" s="166" t="s">
        <v>730</v>
      </c>
      <c r="B10" s="167" t="s">
        <v>731</v>
      </c>
      <c r="C10" s="1740" t="s">
        <v>732</v>
      </c>
      <c r="D10" s="1740"/>
      <c r="E10" s="165"/>
      <c r="F10" s="168"/>
      <c r="G10" s="168"/>
    </row>
    <row r="11" spans="1:7" ht="39.950000000000003" customHeight="1" x14ac:dyDescent="0.15">
      <c r="A11" s="166" t="s">
        <v>733</v>
      </c>
      <c r="B11" s="167" t="s">
        <v>734</v>
      </c>
      <c r="C11" s="1740" t="s">
        <v>735</v>
      </c>
      <c r="D11" s="1740"/>
      <c r="E11" s="165"/>
      <c r="F11" s="168"/>
      <c r="G11" s="168"/>
    </row>
    <row r="12" spans="1:7" ht="39.950000000000003" customHeight="1" x14ac:dyDescent="0.15">
      <c r="A12" s="1732" t="s">
        <v>736</v>
      </c>
      <c r="B12" s="1732"/>
      <c r="C12" s="1735"/>
      <c r="D12" s="1736"/>
    </row>
    <row r="13" spans="1:7" ht="39.950000000000003" customHeight="1" x14ac:dyDescent="0.15">
      <c r="A13" s="166" t="s">
        <v>97</v>
      </c>
      <c r="B13" s="167" t="s">
        <v>737</v>
      </c>
      <c r="C13" s="1740" t="s">
        <v>738</v>
      </c>
      <c r="D13" s="1740"/>
    </row>
    <row r="14" spans="1:7" ht="39.950000000000003" customHeight="1" x14ac:dyDescent="0.15">
      <c r="A14" s="166" t="s">
        <v>98</v>
      </c>
      <c r="B14" s="167" t="s">
        <v>739</v>
      </c>
      <c r="C14" s="1740" t="s">
        <v>740</v>
      </c>
      <c r="D14" s="1740"/>
    </row>
    <row r="15" spans="1:7" ht="39.950000000000003" customHeight="1" x14ac:dyDescent="0.15">
      <c r="A15" s="166" t="s">
        <v>725</v>
      </c>
      <c r="B15" s="167" t="s">
        <v>741</v>
      </c>
      <c r="C15" s="1740" t="s">
        <v>742</v>
      </c>
      <c r="D15" s="1740"/>
    </row>
    <row r="16" spans="1:7" ht="39.950000000000003" customHeight="1" x14ac:dyDescent="0.15">
      <c r="A16" s="166" t="s">
        <v>727</v>
      </c>
      <c r="B16" s="167" t="s">
        <v>743</v>
      </c>
      <c r="C16" s="1740" t="s">
        <v>744</v>
      </c>
      <c r="D16" s="1740"/>
      <c r="E16" s="165"/>
    </row>
    <row r="17" spans="1:6" ht="39.950000000000003" customHeight="1" x14ac:dyDescent="0.15">
      <c r="A17" s="1732" t="s">
        <v>745</v>
      </c>
      <c r="B17" s="1732"/>
      <c r="C17" s="1735"/>
      <c r="D17" s="1736"/>
      <c r="E17" s="165"/>
    </row>
    <row r="18" spans="1:6" ht="39.950000000000003" customHeight="1" x14ac:dyDescent="0.15">
      <c r="A18" s="166" t="s">
        <v>97</v>
      </c>
      <c r="B18" s="167" t="s">
        <v>746</v>
      </c>
      <c r="C18" s="1740" t="s">
        <v>747</v>
      </c>
      <c r="D18" s="1740"/>
      <c r="E18" s="168"/>
    </row>
    <row r="19" spans="1:6" ht="39.950000000000003" customHeight="1" x14ac:dyDescent="0.15">
      <c r="A19" s="166" t="s">
        <v>98</v>
      </c>
      <c r="B19" s="167" t="s">
        <v>748</v>
      </c>
      <c r="C19" s="1737" t="s">
        <v>749</v>
      </c>
      <c r="D19" s="1737"/>
      <c r="E19" s="168"/>
    </row>
    <row r="20" spans="1:6" ht="39.950000000000003" customHeight="1" x14ac:dyDescent="0.15">
      <c r="A20" s="166" t="s">
        <v>725</v>
      </c>
      <c r="B20" s="167" t="s">
        <v>750</v>
      </c>
      <c r="C20" s="1733" t="s">
        <v>750</v>
      </c>
      <c r="D20" s="1733"/>
      <c r="E20" s="168"/>
    </row>
    <row r="21" spans="1:6" ht="39.950000000000003" customHeight="1" x14ac:dyDescent="0.15">
      <c r="A21" s="166" t="s">
        <v>727</v>
      </c>
      <c r="B21" s="167" t="s">
        <v>751</v>
      </c>
      <c r="C21" s="1740" t="s">
        <v>752</v>
      </c>
      <c r="D21" s="1740"/>
      <c r="E21" s="168"/>
    </row>
    <row r="22" spans="1:6" ht="39.950000000000003" customHeight="1" x14ac:dyDescent="0.15">
      <c r="A22" s="166" t="s">
        <v>730</v>
      </c>
      <c r="B22" s="167" t="s">
        <v>753</v>
      </c>
      <c r="C22" s="1737" t="s">
        <v>754</v>
      </c>
      <c r="D22" s="1737"/>
      <c r="E22" s="168"/>
    </row>
    <row r="23" spans="1:6" ht="39.950000000000003" customHeight="1" x14ac:dyDescent="0.15">
      <c r="A23" s="166" t="s">
        <v>733</v>
      </c>
      <c r="B23" s="167" t="s">
        <v>755</v>
      </c>
      <c r="C23" s="1741" t="s">
        <v>756</v>
      </c>
      <c r="D23" s="1737"/>
      <c r="E23" s="168"/>
    </row>
    <row r="24" spans="1:6" ht="39.950000000000003" customHeight="1" x14ac:dyDescent="0.15">
      <c r="A24" s="1732" t="s">
        <v>757</v>
      </c>
      <c r="B24" s="1732"/>
      <c r="C24" s="1735"/>
      <c r="D24" s="1736"/>
      <c r="E24" s="168"/>
    </row>
    <row r="25" spans="1:6" ht="39.950000000000003" customHeight="1" x14ac:dyDescent="0.15">
      <c r="A25" s="166" t="s">
        <v>97</v>
      </c>
      <c r="B25" s="167" t="s">
        <v>758</v>
      </c>
      <c r="C25" s="1737" t="s">
        <v>759</v>
      </c>
      <c r="D25" s="1737"/>
      <c r="F25" s="165"/>
    </row>
    <row r="26" spans="1:6" ht="39.950000000000003" customHeight="1" x14ac:dyDescent="0.15">
      <c r="A26" s="166" t="s">
        <v>98</v>
      </c>
      <c r="B26" s="167" t="s">
        <v>760</v>
      </c>
      <c r="C26" s="1737" t="s">
        <v>761</v>
      </c>
      <c r="D26" s="1737"/>
      <c r="E26" s="165"/>
      <c r="F26" s="165"/>
    </row>
    <row r="27" spans="1:6" ht="39.950000000000003" customHeight="1" x14ac:dyDescent="0.15">
      <c r="A27" s="166" t="s">
        <v>725</v>
      </c>
      <c r="B27" s="167" t="s">
        <v>762</v>
      </c>
      <c r="C27" s="1737" t="s">
        <v>763</v>
      </c>
      <c r="D27" s="1737"/>
      <c r="E27" s="165"/>
      <c r="F27" s="165"/>
    </row>
    <row r="28" spans="1:6" ht="39.950000000000003" customHeight="1" x14ac:dyDescent="0.15">
      <c r="A28" s="1738" t="s">
        <v>727</v>
      </c>
      <c r="B28" s="1739" t="s">
        <v>764</v>
      </c>
      <c r="C28" s="1733" t="s">
        <v>765</v>
      </c>
      <c r="D28" s="1733"/>
      <c r="E28" s="165"/>
      <c r="F28" s="165"/>
    </row>
    <row r="29" spans="1:6" ht="39.950000000000003" customHeight="1" x14ac:dyDescent="0.15">
      <c r="A29" s="1738"/>
      <c r="B29" s="1739"/>
      <c r="C29" s="1733" t="s">
        <v>766</v>
      </c>
      <c r="D29" s="1733"/>
      <c r="E29" s="165"/>
      <c r="F29" s="165"/>
    </row>
    <row r="30" spans="1:6" ht="39.950000000000003" customHeight="1" x14ac:dyDescent="0.15">
      <c r="A30" s="1732" t="s">
        <v>767</v>
      </c>
      <c r="B30" s="1732"/>
      <c r="C30" s="1735"/>
      <c r="D30" s="1736"/>
      <c r="E30" s="165"/>
      <c r="F30" s="165"/>
    </row>
    <row r="31" spans="1:6" ht="39.950000000000003" customHeight="1" x14ac:dyDescent="0.15">
      <c r="A31" s="166" t="s">
        <v>97</v>
      </c>
      <c r="B31" s="169" t="s">
        <v>768</v>
      </c>
      <c r="C31" s="1733" t="s">
        <v>769</v>
      </c>
      <c r="D31" s="1733"/>
      <c r="E31" s="165"/>
      <c r="F31" s="165"/>
    </row>
    <row r="32" spans="1:6" ht="39.950000000000003" customHeight="1" x14ac:dyDescent="0.15">
      <c r="A32" s="166" t="s">
        <v>98</v>
      </c>
      <c r="B32" s="169" t="s">
        <v>770</v>
      </c>
      <c r="C32" s="1733" t="s">
        <v>771</v>
      </c>
      <c r="D32" s="1733"/>
      <c r="E32" s="165"/>
      <c r="F32" s="165"/>
    </row>
    <row r="33" spans="1:7" ht="39.950000000000003" customHeight="1" x14ac:dyDescent="0.15">
      <c r="A33" s="166" t="s">
        <v>725</v>
      </c>
      <c r="B33" s="170" t="s">
        <v>772</v>
      </c>
      <c r="C33" s="1733" t="s">
        <v>773</v>
      </c>
      <c r="D33" s="1733"/>
      <c r="E33" s="165"/>
      <c r="F33" s="165"/>
    </row>
    <row r="34" spans="1:7" ht="39.950000000000003" customHeight="1" x14ac:dyDescent="0.15">
      <c r="A34" s="166" t="s">
        <v>727</v>
      </c>
      <c r="B34" s="169" t="s">
        <v>774</v>
      </c>
      <c r="C34" s="1734" t="s">
        <v>775</v>
      </c>
      <c r="D34" s="1734"/>
      <c r="E34" s="165"/>
      <c r="F34" s="165"/>
    </row>
    <row r="35" spans="1:7" ht="39.950000000000003" customHeight="1" x14ac:dyDescent="0.15">
      <c r="A35" s="1732" t="s">
        <v>776</v>
      </c>
      <c r="B35" s="1732"/>
      <c r="C35" s="1735"/>
      <c r="D35" s="1736"/>
      <c r="E35" s="165"/>
      <c r="F35" s="165"/>
      <c r="G35" s="168"/>
    </row>
    <row r="36" spans="1:7" ht="39.950000000000003" customHeight="1" x14ac:dyDescent="0.15">
      <c r="A36" s="166" t="s">
        <v>97</v>
      </c>
      <c r="B36" s="170" t="s">
        <v>777</v>
      </c>
      <c r="C36" s="1731" t="s">
        <v>778</v>
      </c>
      <c r="D36" s="1731"/>
      <c r="E36" s="165"/>
      <c r="F36" s="165"/>
      <c r="G36" s="168"/>
    </row>
    <row r="37" spans="1:7" ht="39.950000000000003" customHeight="1" x14ac:dyDescent="0.15">
      <c r="A37" s="166" t="s">
        <v>98</v>
      </c>
      <c r="B37" s="170" t="s">
        <v>779</v>
      </c>
      <c r="C37" s="1731" t="s">
        <v>780</v>
      </c>
      <c r="D37" s="1731"/>
      <c r="E37" s="165"/>
      <c r="F37" s="165"/>
      <c r="G37" s="168"/>
    </row>
    <row r="38" spans="1:7" ht="30" customHeight="1" x14ac:dyDescent="0.15">
      <c r="A38" s="165"/>
      <c r="B38" s="165"/>
      <c r="C38" s="165"/>
      <c r="D38" s="165"/>
      <c r="E38" s="165"/>
      <c r="F38" s="165"/>
    </row>
    <row r="39" spans="1:7" ht="13.5" customHeight="1" x14ac:dyDescent="0.15">
      <c r="A39" s="165"/>
      <c r="B39" s="165"/>
      <c r="C39" s="165"/>
      <c r="D39" s="165"/>
      <c r="E39" s="165"/>
    </row>
    <row r="40" spans="1:7" ht="13.5" customHeight="1" x14ac:dyDescent="0.15">
      <c r="A40" s="165"/>
      <c r="B40" s="165"/>
      <c r="C40" s="165"/>
      <c r="D40" s="165"/>
      <c r="E40" s="165"/>
    </row>
    <row r="41" spans="1:7" ht="13.5" customHeight="1" x14ac:dyDescent="0.15">
      <c r="A41" s="165"/>
      <c r="B41" s="165"/>
      <c r="C41" s="165"/>
      <c r="D41" s="165"/>
      <c r="E41" s="165"/>
    </row>
    <row r="42" spans="1:7" ht="13.5" customHeight="1" x14ac:dyDescent="0.15">
      <c r="A42" s="165"/>
      <c r="B42" s="165"/>
      <c r="C42" s="165"/>
      <c r="D42" s="165"/>
      <c r="E42" s="165"/>
      <c r="F42" s="168"/>
      <c r="G42" s="168"/>
    </row>
    <row r="43" spans="1:7" ht="13.5" customHeight="1" x14ac:dyDescent="0.15">
      <c r="A43" s="165"/>
      <c r="B43" s="165"/>
      <c r="C43" s="165"/>
      <c r="D43" s="165"/>
      <c r="E43" s="165"/>
      <c r="F43" s="165"/>
    </row>
    <row r="44" spans="1:7" ht="13.5" customHeight="1" x14ac:dyDescent="0.15"/>
    <row r="45" spans="1:7" ht="13.5" customHeight="1" x14ac:dyDescent="0.15"/>
    <row r="46" spans="1:7" ht="13.5" customHeight="1" x14ac:dyDescent="0.15"/>
  </sheetData>
  <sheetProtection password="CF43" sheet="1" objects="1" scenarios="1"/>
  <mergeCells count="45">
    <mergeCell ref="A12:B12"/>
    <mergeCell ref="A1:D1"/>
    <mergeCell ref="A3:B4"/>
    <mergeCell ref="C3:D3"/>
    <mergeCell ref="C4:D4"/>
    <mergeCell ref="A5:B5"/>
    <mergeCell ref="C6:D6"/>
    <mergeCell ref="C12:D12"/>
    <mergeCell ref="C5:D5"/>
    <mergeCell ref="C7:D7"/>
    <mergeCell ref="C8:D8"/>
    <mergeCell ref="C9:D9"/>
    <mergeCell ref="C10:D10"/>
    <mergeCell ref="C11:D11"/>
    <mergeCell ref="A24:B24"/>
    <mergeCell ref="C13:D13"/>
    <mergeCell ref="C14:D14"/>
    <mergeCell ref="C15:D15"/>
    <mergeCell ref="C16:D16"/>
    <mergeCell ref="A17:B17"/>
    <mergeCell ref="C18:D18"/>
    <mergeCell ref="C17:D17"/>
    <mergeCell ref="C24:D24"/>
    <mergeCell ref="C19:D19"/>
    <mergeCell ref="C20:D20"/>
    <mergeCell ref="C21:D21"/>
    <mergeCell ref="C22:D22"/>
    <mergeCell ref="C23:D23"/>
    <mergeCell ref="C25:D25"/>
    <mergeCell ref="C26:D26"/>
    <mergeCell ref="C27:D27"/>
    <mergeCell ref="A28:A29"/>
    <mergeCell ref="B28:B29"/>
    <mergeCell ref="C28:D28"/>
    <mergeCell ref="C29:D29"/>
    <mergeCell ref="C36:D36"/>
    <mergeCell ref="C37:D37"/>
    <mergeCell ref="A30:B30"/>
    <mergeCell ref="C31:D31"/>
    <mergeCell ref="C32:D32"/>
    <mergeCell ref="C33:D33"/>
    <mergeCell ref="C34:D34"/>
    <mergeCell ref="A35:B35"/>
    <mergeCell ref="C30:D30"/>
    <mergeCell ref="C35:D35"/>
  </mergeCells>
  <phoneticPr fontId="27"/>
  <pageMargins left="0.7" right="0.7" top="0.75" bottom="0.75" header="0.3" footer="0.3"/>
  <pageSetup paperSize="9" scale="82" orientation="portrait" r:id="rId1"/>
  <rowBreaks count="1" manualBreakCount="1">
    <brk id="2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X32"/>
  <sheetViews>
    <sheetView view="pageBreakPreview" zoomScaleNormal="100" zoomScaleSheetLayoutView="100" workbookViewId="0">
      <selection activeCell="K11" sqref="K11"/>
    </sheetView>
  </sheetViews>
  <sheetFormatPr defaultRowHeight="13.5" x14ac:dyDescent="0.15"/>
  <cols>
    <col min="1" max="25" width="4.625" customWidth="1"/>
  </cols>
  <sheetData>
    <row r="1" spans="1:24" s="54" customFormat="1" ht="13.5" customHeight="1" x14ac:dyDescent="0.15">
      <c r="A1" s="134"/>
      <c r="B1" s="135" t="s">
        <v>688</v>
      </c>
      <c r="C1" s="136"/>
      <c r="D1" s="136"/>
      <c r="E1" s="136"/>
      <c r="F1" s="137"/>
      <c r="G1" s="137"/>
      <c r="H1" s="137"/>
      <c r="I1" s="137"/>
      <c r="J1" s="137"/>
      <c r="K1" s="137"/>
      <c r="L1" s="137"/>
      <c r="M1" s="137"/>
      <c r="N1" s="137"/>
      <c r="O1" s="136"/>
      <c r="P1" s="136"/>
      <c r="Q1" s="136"/>
      <c r="R1" s="136"/>
      <c r="S1" s="136"/>
      <c r="T1" s="134"/>
      <c r="U1" s="138"/>
    </row>
    <row r="2" spans="1:24" s="350" customFormat="1" ht="30" customHeight="1" x14ac:dyDescent="0.15">
      <c r="B2" s="866" t="s">
        <v>1451</v>
      </c>
      <c r="C2" s="866"/>
      <c r="D2" s="866"/>
      <c r="E2" s="866"/>
      <c r="F2" s="866"/>
      <c r="G2" s="866"/>
      <c r="H2" s="866"/>
      <c r="I2" s="866"/>
      <c r="J2" s="866"/>
      <c r="K2" s="866"/>
      <c r="L2" s="866"/>
      <c r="M2" s="866"/>
      <c r="N2" s="866"/>
      <c r="O2" s="866"/>
      <c r="P2" s="866"/>
      <c r="Q2" s="866"/>
      <c r="R2" s="866"/>
      <c r="S2" s="866"/>
      <c r="T2" s="866"/>
      <c r="U2" s="866"/>
      <c r="V2" s="866"/>
    </row>
    <row r="3" spans="1:24" s="36" customFormat="1" ht="20.100000000000001" customHeight="1" x14ac:dyDescent="0.15">
      <c r="A3" s="139"/>
      <c r="B3" s="153"/>
      <c r="C3" s="154"/>
      <c r="D3" s="154"/>
      <c r="E3" s="154"/>
      <c r="F3" s="155"/>
      <c r="G3" s="731" t="s">
        <v>689</v>
      </c>
      <c r="H3" s="731"/>
      <c r="I3" s="731"/>
      <c r="J3" s="731"/>
      <c r="K3" s="731"/>
      <c r="L3" s="731"/>
      <c r="M3" s="731"/>
      <c r="N3" s="731"/>
      <c r="O3" s="731"/>
      <c r="P3" s="731"/>
    </row>
    <row r="4" spans="1:24" s="36" customFormat="1" ht="20.100000000000001" customHeight="1" x14ac:dyDescent="0.15">
      <c r="A4" s="140"/>
      <c r="B4" s="156"/>
      <c r="C4" s="157"/>
      <c r="D4" s="157"/>
      <c r="E4" s="157"/>
      <c r="F4" s="158"/>
      <c r="G4" s="1758" t="s">
        <v>1489</v>
      </c>
      <c r="H4" s="1758"/>
      <c r="I4" s="1758"/>
      <c r="J4" s="1758"/>
      <c r="K4" s="1758"/>
      <c r="L4" s="1758"/>
      <c r="M4" s="1758"/>
      <c r="N4" s="1758"/>
      <c r="O4" s="1758"/>
      <c r="P4" s="1758"/>
    </row>
    <row r="5" spans="1:24" s="36" customFormat="1" ht="20.100000000000001" customHeight="1" x14ac:dyDescent="0.15">
      <c r="A5" s="140"/>
      <c r="B5" s="1748" t="s">
        <v>1452</v>
      </c>
      <c r="C5" s="1748"/>
      <c r="D5" s="1748"/>
      <c r="E5" s="1748"/>
      <c r="F5" s="1748"/>
      <c r="G5" s="1759" t="s">
        <v>1489</v>
      </c>
      <c r="H5" s="1760"/>
      <c r="I5" s="1749" t="s">
        <v>690</v>
      </c>
      <c r="J5" s="1749"/>
      <c r="K5" s="1749"/>
      <c r="L5" s="1749"/>
      <c r="M5" s="1749"/>
      <c r="N5" s="1749"/>
      <c r="O5" s="1749"/>
      <c r="P5" s="1749"/>
      <c r="Q5" s="65"/>
      <c r="R5" s="65"/>
      <c r="S5" s="65"/>
      <c r="T5" s="65"/>
      <c r="U5" s="65"/>
      <c r="V5" s="65"/>
    </row>
    <row r="6" spans="1:24" s="36" customFormat="1" ht="13.5" customHeight="1" x14ac:dyDescent="0.15">
      <c r="A6" s="140"/>
      <c r="B6" s="141"/>
      <c r="D6" s="142"/>
      <c r="E6" s="141"/>
      <c r="F6" s="143"/>
      <c r="G6" s="143"/>
      <c r="H6" s="65"/>
      <c r="K6" s="94"/>
      <c r="L6" s="94"/>
      <c r="M6" s="94"/>
      <c r="N6" s="94"/>
      <c r="O6" s="94"/>
      <c r="P6" s="94"/>
      <c r="Q6" s="94"/>
      <c r="R6" s="94"/>
      <c r="S6" s="94"/>
      <c r="T6" s="94"/>
      <c r="U6" s="94"/>
      <c r="V6" s="94"/>
      <c r="W6" s="94"/>
      <c r="X6" s="94"/>
    </row>
    <row r="7" spans="1:24" s="36" customFormat="1" ht="20.100000000000001" customHeight="1" x14ac:dyDescent="0.15">
      <c r="A7" s="140"/>
      <c r="B7" s="1748" t="s">
        <v>691</v>
      </c>
      <c r="C7" s="1748"/>
      <c r="D7" s="1748"/>
      <c r="E7" s="1755" t="s">
        <v>689</v>
      </c>
      <c r="F7" s="1755"/>
      <c r="G7" s="1755"/>
      <c r="H7" s="1755"/>
      <c r="I7" s="1755"/>
      <c r="J7" s="1755"/>
      <c r="K7" s="1755"/>
      <c r="L7" s="1755"/>
      <c r="M7" s="1755"/>
      <c r="N7" s="1755"/>
      <c r="O7" s="1755" t="s">
        <v>1452</v>
      </c>
      <c r="P7" s="1755"/>
      <c r="Q7" s="1755"/>
      <c r="R7" s="1755"/>
      <c r="S7" s="1755"/>
      <c r="T7" s="1755"/>
      <c r="U7" s="1755"/>
      <c r="V7" s="1755"/>
      <c r="W7" s="94"/>
      <c r="X7" s="94"/>
    </row>
    <row r="8" spans="1:24" s="36" customFormat="1" ht="189.75" customHeight="1" x14ac:dyDescent="0.15">
      <c r="A8" s="140"/>
      <c r="B8" s="1756" t="s">
        <v>692</v>
      </c>
      <c r="C8" s="1756"/>
      <c r="D8" s="1756"/>
      <c r="E8" s="1757" t="s">
        <v>1670</v>
      </c>
      <c r="F8" s="1757"/>
      <c r="G8" s="1757"/>
      <c r="H8" s="1757"/>
      <c r="I8" s="1757"/>
      <c r="J8" s="1757"/>
      <c r="K8" s="1757"/>
      <c r="L8" s="1757"/>
      <c r="M8" s="1757"/>
      <c r="N8" s="1757"/>
      <c r="O8" s="1757" t="s">
        <v>1671</v>
      </c>
      <c r="P8" s="1757"/>
      <c r="Q8" s="1757"/>
      <c r="R8" s="1757"/>
      <c r="S8" s="1757"/>
      <c r="T8" s="1757"/>
      <c r="U8" s="1757"/>
      <c r="V8" s="1757"/>
      <c r="W8" s="94"/>
      <c r="X8" s="94"/>
    </row>
    <row r="9" spans="1:24" s="54" customFormat="1" ht="13.5" customHeight="1" thickBot="1" x14ac:dyDescent="0.2">
      <c r="A9" s="138"/>
      <c r="B9" s="134"/>
      <c r="C9" s="144"/>
      <c r="D9" s="144"/>
      <c r="E9" s="144"/>
      <c r="F9" s="144"/>
      <c r="G9" s="144"/>
      <c r="H9" s="144"/>
      <c r="I9" s="144"/>
      <c r="J9" s="144"/>
      <c r="K9" s="144"/>
      <c r="L9" s="144"/>
      <c r="M9" s="144"/>
      <c r="N9" s="144"/>
      <c r="O9" s="144"/>
      <c r="P9" s="144"/>
      <c r="Q9" s="144"/>
      <c r="R9" s="144"/>
      <c r="S9" s="144"/>
      <c r="T9" s="144"/>
      <c r="U9" s="144"/>
    </row>
    <row r="10" spans="1:24" s="54" customFormat="1" ht="27" customHeight="1" thickTop="1" thickBot="1" x14ac:dyDescent="0.2">
      <c r="A10" s="55"/>
      <c r="B10" s="145"/>
      <c r="C10" s="145"/>
      <c r="D10" s="145"/>
      <c r="E10" s="145"/>
      <c r="F10" s="145"/>
      <c r="G10" s="1752" t="s">
        <v>1453</v>
      </c>
      <c r="H10" s="1753"/>
      <c r="I10" s="1753"/>
      <c r="J10" s="1753"/>
      <c r="K10" s="1753"/>
      <c r="L10" s="1753"/>
      <c r="M10" s="1753"/>
      <c r="N10" s="1753"/>
      <c r="O10" s="1753"/>
      <c r="P10" s="1754"/>
      <c r="Q10" s="145"/>
      <c r="R10" s="145"/>
      <c r="S10" s="145"/>
      <c r="T10" s="145"/>
      <c r="U10" s="55"/>
    </row>
    <row r="11" spans="1:24" s="54" customFormat="1" ht="13.5" customHeight="1" thickTop="1" x14ac:dyDescent="0.15">
      <c r="A11" s="55"/>
      <c r="B11" s="145"/>
      <c r="C11" s="145"/>
      <c r="D11" s="145"/>
      <c r="E11" s="145"/>
      <c r="F11" s="146"/>
      <c r="G11" s="146"/>
      <c r="H11" s="146"/>
      <c r="I11" s="146"/>
      <c r="J11" s="146"/>
      <c r="K11" s="146"/>
      <c r="L11" s="146"/>
      <c r="M11" s="146"/>
      <c r="N11" s="146"/>
      <c r="O11" s="145"/>
      <c r="P11" s="145"/>
      <c r="Q11" s="145"/>
      <c r="R11" s="145"/>
      <c r="S11" s="145"/>
      <c r="T11" s="55"/>
    </row>
    <row r="12" spans="1:24" s="54" customFormat="1" ht="13.5" customHeight="1" x14ac:dyDescent="0.15">
      <c r="A12" s="138"/>
      <c r="B12" s="134" t="s">
        <v>693</v>
      </c>
      <c r="C12" s="135"/>
      <c r="D12" s="147"/>
      <c r="E12" s="134"/>
      <c r="F12" s="134"/>
      <c r="G12" s="134"/>
      <c r="H12" s="134"/>
      <c r="I12" s="134"/>
      <c r="J12" s="134"/>
      <c r="K12" s="134"/>
      <c r="L12" s="134"/>
      <c r="M12" s="134"/>
      <c r="N12" s="134"/>
      <c r="O12" s="134"/>
      <c r="P12" s="134"/>
      <c r="Q12" s="134"/>
      <c r="R12" s="134"/>
      <c r="S12" s="134"/>
      <c r="T12" s="134"/>
      <c r="U12" s="134"/>
    </row>
    <row r="13" spans="1:24" s="54" customFormat="1" ht="15" customHeight="1" x14ac:dyDescent="0.15">
      <c r="B13" s="55" t="s">
        <v>1490</v>
      </c>
      <c r="C13" s="55" t="s">
        <v>1491</v>
      </c>
      <c r="D13" s="55"/>
      <c r="E13" s="55"/>
      <c r="F13" s="55"/>
      <c r="G13" s="55"/>
      <c r="H13" s="55"/>
      <c r="I13" s="55"/>
      <c r="J13" s="55"/>
      <c r="K13" s="55"/>
      <c r="L13" s="55"/>
      <c r="M13" s="55"/>
      <c r="N13" s="55"/>
      <c r="O13" s="55"/>
      <c r="P13" s="55"/>
      <c r="Q13" s="55"/>
      <c r="R13" s="55"/>
      <c r="S13" s="55"/>
      <c r="T13" s="55"/>
      <c r="U13" s="55"/>
    </row>
    <row r="14" spans="1:24" s="54" customFormat="1" ht="15" customHeight="1" x14ac:dyDescent="0.15">
      <c r="B14" s="55" t="s">
        <v>1490</v>
      </c>
      <c r="C14" s="763" t="s">
        <v>699</v>
      </c>
      <c r="D14" s="763"/>
      <c r="E14" s="763"/>
      <c r="F14" s="763"/>
      <c r="G14" s="763"/>
      <c r="H14" s="763"/>
      <c r="I14" s="763"/>
      <c r="J14" s="763"/>
      <c r="K14" s="763"/>
      <c r="L14" s="763"/>
      <c r="M14" s="763"/>
      <c r="N14" s="763"/>
      <c r="O14" s="763"/>
      <c r="P14" s="763"/>
      <c r="Q14" s="763"/>
      <c r="R14" s="763"/>
      <c r="S14" s="763"/>
      <c r="T14" s="763"/>
      <c r="U14" s="763"/>
      <c r="V14" s="763"/>
    </row>
    <row r="15" spans="1:24" s="54" customFormat="1" ht="15" customHeight="1" x14ac:dyDescent="0.15">
      <c r="B15" s="55"/>
      <c r="C15" s="763"/>
      <c r="D15" s="763"/>
      <c r="E15" s="763"/>
      <c r="F15" s="763"/>
      <c r="G15" s="763"/>
      <c r="H15" s="763"/>
      <c r="I15" s="763"/>
      <c r="J15" s="763"/>
      <c r="K15" s="763"/>
      <c r="L15" s="763"/>
      <c r="M15" s="763"/>
      <c r="N15" s="763"/>
      <c r="O15" s="763"/>
      <c r="P15" s="763"/>
      <c r="Q15" s="763"/>
      <c r="R15" s="763"/>
      <c r="S15" s="763"/>
      <c r="T15" s="763"/>
      <c r="U15" s="763"/>
      <c r="V15" s="763"/>
    </row>
    <row r="16" spans="1:24" s="54" customFormat="1" ht="15" customHeight="1" x14ac:dyDescent="0.15">
      <c r="C16" s="763"/>
      <c r="D16" s="763"/>
      <c r="E16" s="763"/>
      <c r="F16" s="763"/>
      <c r="G16" s="763"/>
      <c r="H16" s="763"/>
      <c r="I16" s="763"/>
      <c r="J16" s="763"/>
      <c r="K16" s="763"/>
      <c r="L16" s="763"/>
      <c r="M16" s="763"/>
      <c r="N16" s="763"/>
      <c r="O16" s="763"/>
      <c r="P16" s="763"/>
      <c r="Q16" s="763"/>
      <c r="R16" s="763"/>
      <c r="S16" s="763"/>
      <c r="T16" s="763"/>
      <c r="U16" s="763"/>
      <c r="V16" s="763"/>
    </row>
    <row r="17" spans="2:22" s="54" customFormat="1" ht="24" customHeight="1" x14ac:dyDescent="0.15">
      <c r="C17" s="351"/>
      <c r="D17" s="351"/>
      <c r="E17" s="351"/>
      <c r="F17" s="351"/>
      <c r="G17" s="351"/>
      <c r="H17" s="351"/>
      <c r="I17" s="351"/>
      <c r="J17" s="1115" t="s">
        <v>1511</v>
      </c>
      <c r="K17" s="1115"/>
      <c r="L17" s="1115"/>
      <c r="M17" s="1115"/>
      <c r="N17" s="1115"/>
      <c r="O17" s="1115"/>
      <c r="P17" s="1115"/>
      <c r="Q17" s="1115"/>
      <c r="R17" s="1115"/>
      <c r="S17" s="1115"/>
      <c r="T17" s="1115"/>
      <c r="U17" s="1115"/>
      <c r="V17" s="1115"/>
    </row>
    <row r="18" spans="2:22" s="54" customFormat="1" ht="24" customHeight="1" x14ac:dyDescent="0.15">
      <c r="B18" s="55"/>
      <c r="C18" s="55"/>
      <c r="D18" s="55"/>
      <c r="E18" s="55"/>
      <c r="F18" s="55"/>
      <c r="G18" s="55"/>
      <c r="H18" s="36"/>
      <c r="I18" s="36"/>
      <c r="J18" s="148" t="s">
        <v>694</v>
      </c>
      <c r="K18" s="149"/>
      <c r="L18" s="149"/>
      <c r="M18" s="149"/>
      <c r="N18" s="149"/>
      <c r="O18" s="149"/>
      <c r="P18" s="149"/>
      <c r="Q18" s="149"/>
      <c r="R18" s="149"/>
      <c r="S18" s="149"/>
      <c r="T18" s="149"/>
      <c r="U18" s="149"/>
      <c r="V18" s="133"/>
    </row>
    <row r="19" spans="2:22" s="54" customFormat="1" ht="24" customHeight="1" x14ac:dyDescent="0.15">
      <c r="B19" s="55"/>
      <c r="C19" s="55"/>
      <c r="D19" s="55"/>
      <c r="E19" s="55"/>
      <c r="F19" s="55"/>
      <c r="G19" s="55"/>
      <c r="H19" s="36"/>
      <c r="I19" s="36"/>
      <c r="J19" s="1750" t="s">
        <v>1492</v>
      </c>
      <c r="K19" s="1751"/>
      <c r="L19" s="1751"/>
      <c r="M19" s="1751"/>
      <c r="N19" s="1751"/>
      <c r="O19" s="1751"/>
      <c r="P19" s="1751"/>
      <c r="Q19" s="1751"/>
      <c r="R19" s="1751"/>
      <c r="S19" s="1751"/>
      <c r="T19" s="1751"/>
      <c r="U19" s="150"/>
      <c r="V19" s="33"/>
    </row>
    <row r="20" spans="2:22" s="54" customFormat="1" ht="24" customHeight="1" x14ac:dyDescent="0.15">
      <c r="B20" s="55"/>
      <c r="C20" s="55"/>
      <c r="D20" s="55"/>
      <c r="E20" s="55"/>
      <c r="F20" s="55"/>
      <c r="G20" s="55"/>
      <c r="H20" s="36"/>
      <c r="I20" s="36"/>
      <c r="J20" s="151" t="s">
        <v>695</v>
      </c>
      <c r="K20" s="41"/>
      <c r="L20" s="41"/>
      <c r="M20" s="41"/>
      <c r="N20" s="41"/>
      <c r="O20" s="41"/>
      <c r="P20" s="41"/>
      <c r="Q20" s="41"/>
      <c r="R20" s="41"/>
      <c r="S20" s="41"/>
      <c r="T20" s="41"/>
      <c r="U20" s="41"/>
      <c r="V20" s="42"/>
    </row>
    <row r="21" spans="2:22" s="54" customFormat="1" ht="24" customHeight="1" x14ac:dyDescent="0.15">
      <c r="B21" s="55"/>
      <c r="C21" s="55"/>
      <c r="D21" s="55"/>
      <c r="E21" s="55"/>
      <c r="F21" s="55"/>
      <c r="G21" s="55"/>
      <c r="H21" s="36"/>
      <c r="I21" s="36"/>
      <c r="J21" s="1750" t="s">
        <v>1493</v>
      </c>
      <c r="K21" s="1751"/>
      <c r="L21" s="1751"/>
      <c r="M21" s="1751"/>
      <c r="N21" s="1751"/>
      <c r="O21" s="1751"/>
      <c r="P21" s="1751"/>
      <c r="Q21" s="1751"/>
      <c r="R21" s="1751"/>
      <c r="S21" s="1751"/>
      <c r="T21" s="1751"/>
      <c r="U21" s="150"/>
      <c r="V21" s="33"/>
    </row>
    <row r="22" spans="2:22" s="54" customFormat="1" ht="24" customHeight="1" x14ac:dyDescent="0.15">
      <c r="B22" s="55"/>
      <c r="C22" s="55"/>
      <c r="D22" s="55"/>
      <c r="E22" s="55"/>
      <c r="F22" s="55"/>
      <c r="G22" s="55"/>
      <c r="H22" s="36"/>
      <c r="I22" s="36"/>
      <c r="J22" s="151" t="s">
        <v>696</v>
      </c>
      <c r="K22" s="41"/>
      <c r="L22" s="41"/>
      <c r="M22" s="41"/>
      <c r="N22" s="41"/>
      <c r="O22" s="41"/>
      <c r="P22" s="41"/>
      <c r="Q22" s="41"/>
      <c r="R22" s="41"/>
      <c r="S22" s="41"/>
      <c r="T22" s="41"/>
      <c r="U22" s="41"/>
      <c r="V22" s="42"/>
    </row>
    <row r="23" spans="2:22" s="54" customFormat="1" ht="24" customHeight="1" x14ac:dyDescent="0.15">
      <c r="B23" s="55"/>
      <c r="C23" s="55"/>
      <c r="D23" s="55"/>
      <c r="E23" s="55"/>
      <c r="F23" s="55"/>
      <c r="G23" s="55"/>
      <c r="H23" s="36"/>
      <c r="I23" s="36"/>
      <c r="J23" s="148" t="s">
        <v>697</v>
      </c>
      <c r="K23" s="149"/>
      <c r="L23" s="149"/>
      <c r="M23" s="149"/>
      <c r="N23" s="149"/>
      <c r="O23" s="149"/>
      <c r="P23" s="149"/>
      <c r="Q23" s="149"/>
      <c r="R23" s="149"/>
      <c r="S23" s="149"/>
      <c r="T23" s="149"/>
      <c r="U23" s="149"/>
      <c r="V23" s="133"/>
    </row>
    <row r="24" spans="2:22" s="54" customFormat="1" ht="27" customHeight="1" x14ac:dyDescent="0.15">
      <c r="B24" s="55"/>
      <c r="C24" s="55"/>
      <c r="D24" s="55"/>
      <c r="E24" s="55"/>
      <c r="F24" s="55"/>
      <c r="G24" s="55"/>
      <c r="H24" s="55"/>
      <c r="I24" s="55"/>
      <c r="J24" s="55"/>
      <c r="K24" s="55"/>
      <c r="L24" s="55"/>
      <c r="M24" s="55"/>
      <c r="N24" s="55"/>
      <c r="O24" s="55"/>
      <c r="P24" s="55"/>
      <c r="Q24" s="55"/>
      <c r="R24" s="55"/>
      <c r="S24" s="55"/>
      <c r="T24" s="55"/>
      <c r="U24" s="55"/>
    </row>
    <row r="25" spans="2:22" s="54" customFormat="1" ht="20.100000000000001" customHeight="1" x14ac:dyDescent="0.15">
      <c r="B25" s="55"/>
      <c r="C25" s="1181" t="s">
        <v>1494</v>
      </c>
      <c r="D25" s="1182"/>
      <c r="E25" s="1182"/>
      <c r="F25" s="1182"/>
      <c r="G25" s="1182"/>
      <c r="H25" s="1182"/>
      <c r="I25" s="1182"/>
      <c r="J25" s="1182"/>
      <c r="K25" s="1182"/>
      <c r="L25" s="1182"/>
      <c r="M25" s="1182"/>
      <c r="N25" s="1182"/>
      <c r="O25" s="1182"/>
      <c r="P25" s="1182"/>
      <c r="Q25" s="1182"/>
      <c r="R25" s="1182"/>
      <c r="S25" s="1182"/>
      <c r="T25" s="46"/>
      <c r="U25" s="55"/>
    </row>
    <row r="26" spans="2:22" s="54" customFormat="1" ht="20.100000000000001" customHeight="1" x14ac:dyDescent="0.15">
      <c r="B26" s="55"/>
      <c r="C26" s="1172" t="s">
        <v>1495</v>
      </c>
      <c r="D26" s="1173"/>
      <c r="E26" s="1173"/>
      <c r="F26" s="1173"/>
      <c r="G26" s="1173"/>
      <c r="H26" s="1173"/>
      <c r="I26" s="1173"/>
      <c r="J26" s="1173"/>
      <c r="K26" s="1173"/>
      <c r="L26" s="1173"/>
      <c r="M26" s="1173"/>
      <c r="N26" s="1173"/>
      <c r="O26" s="1173"/>
      <c r="P26" s="1173"/>
      <c r="Q26" s="1173"/>
      <c r="R26" s="1173"/>
      <c r="S26" s="1173"/>
      <c r="T26" s="37"/>
      <c r="U26" s="55"/>
    </row>
    <row r="27" spans="2:22" s="54" customFormat="1" ht="15" customHeight="1" x14ac:dyDescent="0.15">
      <c r="B27" s="55"/>
      <c r="C27" s="1526" t="s">
        <v>1294</v>
      </c>
      <c r="D27" s="1527"/>
      <c r="E27" s="1527"/>
      <c r="F27" s="1527"/>
      <c r="G27" s="1527"/>
      <c r="H27" s="1527"/>
      <c r="I27" s="1527"/>
      <c r="J27" s="1527"/>
      <c r="K27" s="1527"/>
      <c r="L27" s="1527"/>
      <c r="M27" s="1527"/>
      <c r="N27" s="1527"/>
      <c r="O27" s="1527"/>
      <c r="P27" s="1527"/>
      <c r="Q27" s="1527"/>
      <c r="R27" s="1527"/>
      <c r="S27" s="1527"/>
      <c r="T27" s="1528"/>
      <c r="U27" s="55"/>
    </row>
    <row r="28" spans="2:22" s="54" customFormat="1" ht="15" customHeight="1" x14ac:dyDescent="0.15">
      <c r="B28" s="55"/>
      <c r="C28" s="1172" t="s">
        <v>1264</v>
      </c>
      <c r="D28" s="1173"/>
      <c r="E28" s="1173"/>
      <c r="F28" s="1173"/>
      <c r="G28" s="1173"/>
      <c r="H28" s="1173"/>
      <c r="I28" s="1173"/>
      <c r="J28" s="1173"/>
      <c r="K28" s="1173"/>
      <c r="L28" s="1173"/>
      <c r="M28" s="1173"/>
      <c r="N28" s="1173"/>
      <c r="O28" s="1173"/>
      <c r="P28" s="1173"/>
      <c r="Q28" s="1173"/>
      <c r="R28" s="1173"/>
      <c r="S28" s="1173"/>
      <c r="T28" s="37"/>
      <c r="U28" s="55"/>
    </row>
    <row r="29" spans="2:22" s="54" customFormat="1" ht="15" customHeight="1" x14ac:dyDescent="0.15">
      <c r="B29" s="55"/>
      <c r="C29" s="1170" t="s">
        <v>1496</v>
      </c>
      <c r="D29" s="1171"/>
      <c r="E29" s="1171"/>
      <c r="F29" s="1171"/>
      <c r="G29" s="1171"/>
      <c r="H29" s="1171"/>
      <c r="I29" s="1171"/>
      <c r="J29" s="1171"/>
      <c r="K29" s="1171"/>
      <c r="L29" s="1171"/>
      <c r="M29" s="1171"/>
      <c r="N29" s="1171"/>
      <c r="O29" s="1171"/>
      <c r="P29" s="1171"/>
      <c r="Q29" s="1171"/>
      <c r="R29" s="1171"/>
      <c r="S29" s="1171"/>
      <c r="T29" s="37"/>
      <c r="U29" s="55"/>
    </row>
    <row r="30" spans="2:22" s="54" customFormat="1" ht="15" customHeight="1" x14ac:dyDescent="0.15">
      <c r="B30" s="55"/>
      <c r="C30" s="1170" t="s">
        <v>1510</v>
      </c>
      <c r="D30" s="1171"/>
      <c r="E30" s="1171"/>
      <c r="F30" s="1171"/>
      <c r="G30" s="1171"/>
      <c r="H30" s="1171"/>
      <c r="I30" s="1171"/>
      <c r="J30" s="1171"/>
      <c r="K30" s="1171"/>
      <c r="L30" s="1171"/>
      <c r="M30" s="1171"/>
      <c r="N30" s="1171"/>
      <c r="O30" s="1171"/>
      <c r="P30" s="1171"/>
      <c r="Q30" s="1171"/>
      <c r="R30" s="1171"/>
      <c r="S30" s="1171"/>
      <c r="T30" s="37"/>
      <c r="U30" s="55"/>
    </row>
    <row r="31" spans="2:22" s="54" customFormat="1" ht="13.5" customHeight="1" x14ac:dyDescent="0.15">
      <c r="B31" s="55"/>
      <c r="C31" s="352" t="s">
        <v>1497</v>
      </c>
      <c r="D31" s="866" t="s">
        <v>1498</v>
      </c>
      <c r="E31" s="866"/>
      <c r="F31" s="866"/>
      <c r="G31" s="866"/>
      <c r="H31" s="866"/>
      <c r="I31" s="866"/>
      <c r="J31" s="866"/>
      <c r="K31" s="866"/>
      <c r="L31" s="866"/>
      <c r="M31" s="866"/>
      <c r="N31" s="866"/>
      <c r="O31" s="866"/>
      <c r="P31" s="866"/>
      <c r="Q31" s="866"/>
      <c r="R31" s="866"/>
      <c r="S31" s="866"/>
      <c r="T31" s="1085"/>
      <c r="U31" s="55"/>
    </row>
    <row r="32" spans="2:22" s="54" customFormat="1" ht="13.5" customHeight="1" x14ac:dyDescent="0.15">
      <c r="B32" s="55"/>
      <c r="C32" s="152"/>
      <c r="D32" s="756"/>
      <c r="E32" s="756"/>
      <c r="F32" s="756"/>
      <c r="G32" s="756"/>
      <c r="H32" s="756"/>
      <c r="I32" s="756"/>
      <c r="J32" s="756"/>
      <c r="K32" s="756"/>
      <c r="L32" s="756"/>
      <c r="M32" s="756"/>
      <c r="N32" s="756"/>
      <c r="O32" s="756"/>
      <c r="P32" s="756"/>
      <c r="Q32" s="756"/>
      <c r="R32" s="756"/>
      <c r="S32" s="756"/>
      <c r="T32" s="1747"/>
      <c r="U32" s="55"/>
    </row>
  </sheetData>
  <sheetProtection password="CF43" sheet="1" objects="1" scenarios="1"/>
  <mergeCells count="24">
    <mergeCell ref="B2:V2"/>
    <mergeCell ref="G10:P10"/>
    <mergeCell ref="B7:D7"/>
    <mergeCell ref="E7:N7"/>
    <mergeCell ref="O7:V7"/>
    <mergeCell ref="B8:D8"/>
    <mergeCell ref="E8:N8"/>
    <mergeCell ref="O8:V8"/>
    <mergeCell ref="G4:P4"/>
    <mergeCell ref="G3:P3"/>
    <mergeCell ref="G5:H5"/>
    <mergeCell ref="D31:T32"/>
    <mergeCell ref="B5:F5"/>
    <mergeCell ref="I5:P5"/>
    <mergeCell ref="C27:T27"/>
    <mergeCell ref="C14:V16"/>
    <mergeCell ref="J19:T19"/>
    <mergeCell ref="J21:T21"/>
    <mergeCell ref="J17:V17"/>
    <mergeCell ref="C25:S25"/>
    <mergeCell ref="C26:S26"/>
    <mergeCell ref="C28:S28"/>
    <mergeCell ref="C29:S29"/>
    <mergeCell ref="C30:S30"/>
  </mergeCells>
  <phoneticPr fontId="27"/>
  <pageMargins left="0.7" right="0.7" top="0.75" bottom="0.75" header="0.3" footer="0.3"/>
  <pageSetup paperSize="9" scale="8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A1:V89"/>
  <sheetViews>
    <sheetView view="pageBreakPreview" zoomScaleNormal="100" zoomScaleSheetLayoutView="100" workbookViewId="0">
      <selection sqref="A1:U1"/>
    </sheetView>
  </sheetViews>
  <sheetFormatPr defaultRowHeight="13.5" x14ac:dyDescent="0.15"/>
  <cols>
    <col min="1" max="23" width="4.625" customWidth="1"/>
  </cols>
  <sheetData>
    <row r="1" spans="1:22" x14ac:dyDescent="0.15">
      <c r="A1" s="1762" t="s">
        <v>1298</v>
      </c>
      <c r="B1" s="1762"/>
      <c r="C1" s="1762"/>
      <c r="D1" s="1762"/>
      <c r="E1" s="1762"/>
      <c r="F1" s="1762"/>
      <c r="G1" s="1762"/>
      <c r="H1" s="1762"/>
      <c r="I1" s="1762"/>
      <c r="J1" s="1762"/>
      <c r="K1" s="1762"/>
      <c r="L1" s="1762"/>
      <c r="M1" s="1762"/>
      <c r="N1" s="1762"/>
      <c r="O1" s="1762"/>
      <c r="P1" s="1762"/>
      <c r="Q1" s="1762"/>
      <c r="R1" s="1762"/>
      <c r="S1" s="1762"/>
      <c r="T1" s="1762"/>
      <c r="U1" s="1762"/>
      <c r="V1" s="54"/>
    </row>
    <row r="2" spans="1:22" x14ac:dyDescent="0.15">
      <c r="A2" s="1201" t="s">
        <v>660</v>
      </c>
      <c r="B2" s="1201"/>
      <c r="C2" s="1201"/>
      <c r="D2" s="1201"/>
      <c r="E2" s="1201"/>
      <c r="F2" s="1201"/>
      <c r="G2" s="1201"/>
      <c r="H2" s="1201"/>
      <c r="I2" s="1201"/>
      <c r="J2" s="1201"/>
      <c r="K2" s="1201"/>
      <c r="L2" s="1201"/>
      <c r="M2" s="1201"/>
      <c r="N2" s="1201"/>
      <c r="O2" s="1201"/>
      <c r="P2" s="1201"/>
      <c r="Q2" s="1201"/>
      <c r="R2" s="1201"/>
      <c r="S2" s="1201"/>
      <c r="T2" s="1201"/>
      <c r="U2" s="1201"/>
      <c r="V2" s="54"/>
    </row>
    <row r="3" spans="1:22" x14ac:dyDescent="0.15">
      <c r="A3" s="54"/>
      <c r="B3" s="54"/>
      <c r="C3" s="55"/>
      <c r="D3" s="1763"/>
      <c r="E3" s="1763"/>
      <c r="F3" s="1763"/>
      <c r="G3" s="1763"/>
      <c r="H3" s="1763"/>
      <c r="I3" s="731" t="s">
        <v>661</v>
      </c>
      <c r="J3" s="731"/>
      <c r="K3" s="731"/>
      <c r="L3" s="731"/>
      <c r="M3" s="731"/>
      <c r="N3" s="731"/>
      <c r="O3" s="731"/>
      <c r="P3" s="731"/>
      <c r="Q3" s="728" t="s">
        <v>662</v>
      </c>
      <c r="R3" s="729"/>
      <c r="S3" s="785"/>
      <c r="T3" s="55"/>
      <c r="U3" s="55"/>
      <c r="V3" s="54"/>
    </row>
    <row r="4" spans="1:22" x14ac:dyDescent="0.15">
      <c r="A4" s="54"/>
      <c r="B4" s="54"/>
      <c r="C4" s="55"/>
      <c r="D4" s="1763"/>
      <c r="E4" s="1763"/>
      <c r="F4" s="1763"/>
      <c r="G4" s="1763"/>
      <c r="H4" s="1763"/>
      <c r="I4" s="731" t="s">
        <v>663</v>
      </c>
      <c r="J4" s="731"/>
      <c r="K4" s="731"/>
      <c r="L4" s="731"/>
      <c r="M4" s="731"/>
      <c r="N4" s="731"/>
      <c r="O4" s="731"/>
      <c r="P4" s="731"/>
      <c r="Q4" s="1325" t="s">
        <v>664</v>
      </c>
      <c r="R4" s="1041"/>
      <c r="S4" s="1041"/>
      <c r="T4" s="55"/>
      <c r="U4" s="55"/>
      <c r="V4" s="54"/>
    </row>
    <row r="5" spans="1:22" x14ac:dyDescent="0.15">
      <c r="A5" s="54"/>
      <c r="B5" s="54"/>
      <c r="C5" s="55"/>
      <c r="D5" s="1763"/>
      <c r="E5" s="1763"/>
      <c r="F5" s="1763"/>
      <c r="G5" s="1763"/>
      <c r="H5" s="1763"/>
      <c r="I5" s="731" t="s">
        <v>665</v>
      </c>
      <c r="J5" s="731"/>
      <c r="K5" s="731"/>
      <c r="L5" s="731"/>
      <c r="M5" s="731" t="s">
        <v>666</v>
      </c>
      <c r="N5" s="731"/>
      <c r="O5" s="731"/>
      <c r="P5" s="731"/>
      <c r="Q5" s="1041"/>
      <c r="R5" s="1041"/>
      <c r="S5" s="1041"/>
      <c r="T5" s="55"/>
      <c r="U5" s="55"/>
      <c r="V5" s="54"/>
    </row>
    <row r="6" spans="1:22" x14ac:dyDescent="0.15">
      <c r="A6" s="54"/>
      <c r="B6" s="54"/>
      <c r="C6" s="55"/>
      <c r="D6" s="1325" t="s">
        <v>667</v>
      </c>
      <c r="E6" s="1325"/>
      <c r="F6" s="1325" t="s">
        <v>668</v>
      </c>
      <c r="G6" s="1041"/>
      <c r="H6" s="1041"/>
      <c r="I6" s="1325" t="s">
        <v>669</v>
      </c>
      <c r="J6" s="1325"/>
      <c r="K6" s="1325"/>
      <c r="L6" s="1325"/>
      <c r="M6" s="1325" t="s">
        <v>670</v>
      </c>
      <c r="N6" s="1041"/>
      <c r="O6" s="1041"/>
      <c r="P6" s="1041"/>
      <c r="Q6" s="1041"/>
      <c r="R6" s="1041"/>
      <c r="S6" s="1041"/>
      <c r="T6" s="55"/>
      <c r="U6" s="55"/>
      <c r="V6" s="54"/>
    </row>
    <row r="7" spans="1:22" x14ac:dyDescent="0.15">
      <c r="A7" s="54"/>
      <c r="B7" s="54"/>
      <c r="C7" s="55"/>
      <c r="D7" s="1325"/>
      <c r="E7" s="1325"/>
      <c r="F7" s="1041"/>
      <c r="G7" s="1041"/>
      <c r="H7" s="1041"/>
      <c r="I7" s="1325"/>
      <c r="J7" s="1325"/>
      <c r="K7" s="1325"/>
      <c r="L7" s="1325"/>
      <c r="M7" s="1041"/>
      <c r="N7" s="1041"/>
      <c r="O7" s="1041"/>
      <c r="P7" s="1041"/>
      <c r="Q7" s="1041"/>
      <c r="R7" s="1041"/>
      <c r="S7" s="1041"/>
      <c r="T7" s="55"/>
      <c r="U7" s="55"/>
      <c r="V7" s="54"/>
    </row>
    <row r="8" spans="1:22" x14ac:dyDescent="0.15">
      <c r="A8" s="54"/>
      <c r="B8" s="54"/>
      <c r="C8" s="55"/>
      <c r="D8" s="1325"/>
      <c r="E8" s="1325"/>
      <c r="F8" s="1325" t="s">
        <v>671</v>
      </c>
      <c r="G8" s="1325"/>
      <c r="H8" s="1325"/>
      <c r="I8" s="1325" t="s">
        <v>672</v>
      </c>
      <c r="J8" s="1325"/>
      <c r="K8" s="1325"/>
      <c r="L8" s="1325"/>
      <c r="M8" s="1325" t="s">
        <v>673</v>
      </c>
      <c r="N8" s="1325"/>
      <c r="O8" s="1325"/>
      <c r="P8" s="1325"/>
      <c r="Q8" s="1041"/>
      <c r="R8" s="1041"/>
      <c r="S8" s="1041"/>
      <c r="T8" s="55"/>
      <c r="U8" s="55"/>
      <c r="V8" s="54"/>
    </row>
    <row r="9" spans="1:22" x14ac:dyDescent="0.15">
      <c r="A9" s="54"/>
      <c r="B9" s="54"/>
      <c r="C9" s="55"/>
      <c r="D9" s="1325"/>
      <c r="E9" s="1325"/>
      <c r="F9" s="1325"/>
      <c r="G9" s="1325"/>
      <c r="H9" s="1325"/>
      <c r="I9" s="1325"/>
      <c r="J9" s="1325"/>
      <c r="K9" s="1325"/>
      <c r="L9" s="1325"/>
      <c r="M9" s="1325"/>
      <c r="N9" s="1325"/>
      <c r="O9" s="1325"/>
      <c r="P9" s="1325"/>
      <c r="Q9" s="1041"/>
      <c r="R9" s="1041"/>
      <c r="S9" s="1041"/>
      <c r="T9" s="55"/>
      <c r="U9" s="55"/>
      <c r="V9" s="54"/>
    </row>
    <row r="10" spans="1:22" x14ac:dyDescent="0.15">
      <c r="A10" s="54"/>
      <c r="B10" s="54"/>
      <c r="C10" s="55"/>
      <c r="D10" s="55" t="s">
        <v>674</v>
      </c>
      <c r="E10" s="55" t="s">
        <v>675</v>
      </c>
      <c r="F10" s="55"/>
      <c r="G10" s="55"/>
      <c r="H10" s="55"/>
      <c r="I10" s="55"/>
      <c r="J10" s="55"/>
      <c r="K10" s="55"/>
      <c r="L10" s="55"/>
      <c r="M10" s="55"/>
      <c r="N10" s="55"/>
      <c r="O10" s="55"/>
      <c r="P10" s="55"/>
      <c r="Q10" s="55"/>
      <c r="R10" s="55"/>
      <c r="S10" s="55"/>
      <c r="T10" s="55"/>
      <c r="U10" s="55"/>
      <c r="V10" s="54"/>
    </row>
    <row r="11" spans="1:22" x14ac:dyDescent="0.15">
      <c r="A11" s="54"/>
      <c r="B11" s="54"/>
      <c r="C11" s="55"/>
      <c r="D11" s="55" t="s">
        <v>674</v>
      </c>
      <c r="E11" s="55" t="s">
        <v>676</v>
      </c>
      <c r="F11" s="55"/>
      <c r="G11" s="55"/>
      <c r="H11" s="55"/>
      <c r="I11" s="55"/>
      <c r="J11" s="55"/>
      <c r="K11" s="55"/>
      <c r="L11" s="55"/>
      <c r="M11" s="55"/>
      <c r="N11" s="55"/>
      <c r="O11" s="55"/>
      <c r="P11" s="55"/>
      <c r="Q11" s="55"/>
      <c r="R11" s="55"/>
      <c r="S11" s="55"/>
      <c r="T11" s="55"/>
      <c r="U11" s="55"/>
      <c r="V11" s="54"/>
    </row>
    <row r="12" spans="1:22" x14ac:dyDescent="0.15">
      <c r="A12" s="54"/>
      <c r="B12" s="54"/>
      <c r="C12" s="55"/>
      <c r="D12" s="55"/>
      <c r="E12" s="55" t="s">
        <v>677</v>
      </c>
      <c r="F12" s="55"/>
      <c r="G12" s="55"/>
      <c r="H12" s="55"/>
      <c r="I12" s="55"/>
      <c r="J12" s="55"/>
      <c r="K12" s="55"/>
      <c r="L12" s="55"/>
      <c r="M12" s="55"/>
      <c r="N12" s="55"/>
      <c r="O12" s="55"/>
      <c r="P12" s="55"/>
      <c r="Q12" s="55"/>
      <c r="R12" s="55"/>
      <c r="S12" s="55"/>
      <c r="T12" s="55"/>
      <c r="U12" s="55"/>
      <c r="V12" s="54"/>
    </row>
    <row r="13" spans="1:22" x14ac:dyDescent="0.15">
      <c r="A13" s="54"/>
      <c r="B13" s="54"/>
      <c r="C13" s="55"/>
      <c r="D13" s="55" t="s">
        <v>674</v>
      </c>
      <c r="E13" s="55" t="s">
        <v>678</v>
      </c>
      <c r="F13" s="55"/>
      <c r="G13" s="55"/>
      <c r="H13" s="55"/>
      <c r="I13" s="55"/>
      <c r="J13" s="55"/>
      <c r="K13" s="55"/>
      <c r="L13" s="55"/>
      <c r="M13" s="55"/>
      <c r="N13" s="55"/>
      <c r="O13" s="55"/>
      <c r="P13" s="55"/>
      <c r="Q13" s="55"/>
      <c r="R13" s="55"/>
      <c r="S13" s="55"/>
      <c r="T13" s="55"/>
      <c r="U13" s="55"/>
      <c r="V13" s="54"/>
    </row>
    <row r="14" spans="1:22" x14ac:dyDescent="0.15">
      <c r="A14" s="54"/>
      <c r="B14" s="55"/>
      <c r="C14" s="55"/>
      <c r="D14" s="55"/>
      <c r="E14" s="55"/>
      <c r="F14" s="55"/>
      <c r="G14" s="55"/>
      <c r="H14" s="55"/>
      <c r="I14" s="55"/>
      <c r="J14" s="55"/>
      <c r="K14" s="55"/>
      <c r="L14" s="55"/>
      <c r="M14" s="55"/>
      <c r="N14" s="55"/>
      <c r="O14" s="55"/>
      <c r="P14" s="55"/>
      <c r="Q14" s="55"/>
      <c r="R14" s="55"/>
      <c r="S14" s="55"/>
      <c r="T14" s="55"/>
      <c r="U14" s="54"/>
      <c r="V14" s="54"/>
    </row>
    <row r="15" spans="1:22" x14ac:dyDescent="0.15">
      <c r="A15" s="55"/>
      <c r="B15" s="55"/>
      <c r="C15" s="55"/>
      <c r="D15" s="55"/>
      <c r="E15" s="55"/>
      <c r="F15" s="55"/>
      <c r="G15" s="55"/>
      <c r="H15" s="55"/>
      <c r="I15" s="55"/>
      <c r="J15" s="55"/>
      <c r="K15" s="55"/>
      <c r="L15" s="55"/>
      <c r="M15" s="55"/>
      <c r="N15" s="55"/>
      <c r="O15" s="55"/>
      <c r="P15" s="55"/>
      <c r="Q15" s="55"/>
      <c r="R15" s="55"/>
      <c r="S15" s="55"/>
      <c r="T15" s="54"/>
      <c r="U15" s="54"/>
      <c r="V15" s="54"/>
    </row>
    <row r="16" spans="1:22" x14ac:dyDescent="0.15">
      <c r="A16" s="1762" t="s">
        <v>1299</v>
      </c>
      <c r="B16" s="1762"/>
      <c r="C16" s="1762"/>
      <c r="D16" s="1762"/>
      <c r="E16" s="1762"/>
      <c r="F16" s="1762"/>
      <c r="G16" s="1762"/>
      <c r="H16" s="1762"/>
      <c r="I16" s="1762"/>
      <c r="J16" s="1762"/>
      <c r="K16" s="1762"/>
      <c r="L16" s="1762"/>
      <c r="M16" s="1762"/>
      <c r="N16" s="1762"/>
      <c r="O16" s="1762"/>
      <c r="P16" s="1762"/>
      <c r="Q16" s="1762"/>
      <c r="R16" s="1762"/>
      <c r="S16" s="1762"/>
      <c r="T16" s="1762"/>
      <c r="U16" s="1762"/>
      <c r="V16" s="1762"/>
    </row>
    <row r="17" spans="1:22" x14ac:dyDescent="0.15">
      <c r="A17" s="54"/>
      <c r="B17" s="55"/>
      <c r="C17" s="55" t="s">
        <v>674</v>
      </c>
      <c r="D17" s="55" t="s">
        <v>679</v>
      </c>
      <c r="E17" s="55"/>
      <c r="F17" s="55"/>
      <c r="G17" s="55"/>
      <c r="H17" s="55"/>
      <c r="I17" s="55"/>
      <c r="J17" s="55"/>
      <c r="K17" s="55"/>
      <c r="L17" s="55"/>
      <c r="M17" s="55"/>
      <c r="N17" s="55"/>
      <c r="O17" s="55"/>
      <c r="P17" s="55"/>
      <c r="Q17" s="55"/>
      <c r="R17" s="55"/>
      <c r="S17" s="55"/>
      <c r="T17" s="55"/>
      <c r="U17" s="54"/>
      <c r="V17" s="54"/>
    </row>
    <row r="18" spans="1:22" x14ac:dyDescent="0.15">
      <c r="A18" s="54"/>
      <c r="B18" s="55"/>
      <c r="C18" s="731" t="s">
        <v>680</v>
      </c>
      <c r="D18" s="731"/>
      <c r="E18" s="731"/>
      <c r="F18" s="731"/>
      <c r="G18" s="731" t="s">
        <v>681</v>
      </c>
      <c r="H18" s="731"/>
      <c r="I18" s="731"/>
      <c r="J18" s="731" t="s">
        <v>682</v>
      </c>
      <c r="K18" s="731"/>
      <c r="L18" s="731"/>
      <c r="M18" s="731"/>
      <c r="N18" s="731"/>
      <c r="O18" s="731" t="s">
        <v>683</v>
      </c>
      <c r="P18" s="731"/>
      <c r="Q18" s="731"/>
      <c r="R18" s="731"/>
      <c r="S18" s="731"/>
      <c r="T18" s="55"/>
      <c r="U18" s="54"/>
      <c r="V18" s="54"/>
    </row>
    <row r="19" spans="1:22" x14ac:dyDescent="0.15">
      <c r="A19" s="54"/>
      <c r="B19" s="55"/>
      <c r="C19" s="1761" t="s">
        <v>684</v>
      </c>
      <c r="D19" s="1761"/>
      <c r="E19" s="1761"/>
      <c r="F19" s="1761"/>
      <c r="G19" s="1761" t="s">
        <v>685</v>
      </c>
      <c r="H19" s="1761"/>
      <c r="I19" s="1761"/>
      <c r="J19" s="1761" t="s">
        <v>686</v>
      </c>
      <c r="K19" s="1761"/>
      <c r="L19" s="1761"/>
      <c r="M19" s="1761"/>
      <c r="N19" s="1761"/>
      <c r="O19" s="1761" t="s">
        <v>687</v>
      </c>
      <c r="P19" s="1761"/>
      <c r="Q19" s="1761"/>
      <c r="R19" s="1761"/>
      <c r="S19" s="1761"/>
      <c r="T19" s="55"/>
      <c r="U19" s="55"/>
      <c r="V19" s="54"/>
    </row>
    <row r="20" spans="1:22" x14ac:dyDescent="0.15">
      <c r="A20" s="54"/>
      <c r="B20" s="55"/>
      <c r="C20" s="1761"/>
      <c r="D20" s="1761"/>
      <c r="E20" s="1761"/>
      <c r="F20" s="1761"/>
      <c r="G20" s="1761"/>
      <c r="H20" s="1761"/>
      <c r="I20" s="1761"/>
      <c r="J20" s="1761"/>
      <c r="K20" s="1761"/>
      <c r="L20" s="1761"/>
      <c r="M20" s="1761"/>
      <c r="N20" s="1761"/>
      <c r="O20" s="1761"/>
      <c r="P20" s="1761"/>
      <c r="Q20" s="1761"/>
      <c r="R20" s="1761"/>
      <c r="S20" s="1761"/>
      <c r="T20" s="55"/>
      <c r="U20" s="55"/>
      <c r="V20" s="54"/>
    </row>
    <row r="21" spans="1:22" x14ac:dyDescent="0.15">
      <c r="A21" s="54"/>
      <c r="B21" s="55"/>
      <c r="C21" s="1761"/>
      <c r="D21" s="1761"/>
      <c r="E21" s="1761"/>
      <c r="F21" s="1761"/>
      <c r="G21" s="1761"/>
      <c r="H21" s="1761"/>
      <c r="I21" s="1761"/>
      <c r="J21" s="1761"/>
      <c r="K21" s="1761"/>
      <c r="L21" s="1761"/>
      <c r="M21" s="1761"/>
      <c r="N21" s="1761"/>
      <c r="O21" s="1761"/>
      <c r="P21" s="1761"/>
      <c r="Q21" s="1761"/>
      <c r="R21" s="1761"/>
      <c r="S21" s="1761"/>
      <c r="T21" s="55"/>
      <c r="U21" s="55"/>
      <c r="V21" s="54"/>
    </row>
    <row r="22" spans="1:22" x14ac:dyDescent="0.15">
      <c r="A22" s="54"/>
      <c r="B22" s="55"/>
      <c r="C22" s="1761"/>
      <c r="D22" s="1761"/>
      <c r="E22" s="1761"/>
      <c r="F22" s="1761"/>
      <c r="G22" s="1761"/>
      <c r="H22" s="1761"/>
      <c r="I22" s="1761"/>
      <c r="J22" s="1761"/>
      <c r="K22" s="1761"/>
      <c r="L22" s="1761"/>
      <c r="M22" s="1761"/>
      <c r="N22" s="1761"/>
      <c r="O22" s="1761"/>
      <c r="P22" s="1761"/>
      <c r="Q22" s="1761"/>
      <c r="R22" s="1761"/>
      <c r="S22" s="1761"/>
      <c r="T22" s="55"/>
      <c r="U22" s="55"/>
      <c r="V22" s="54"/>
    </row>
    <row r="23" spans="1:22" x14ac:dyDescent="0.15">
      <c r="A23" s="54"/>
      <c r="B23" s="55"/>
      <c r="C23" s="1761"/>
      <c r="D23" s="1761"/>
      <c r="E23" s="1761"/>
      <c r="F23" s="1761"/>
      <c r="G23" s="1761"/>
      <c r="H23" s="1761"/>
      <c r="I23" s="1761"/>
      <c r="J23" s="1761"/>
      <c r="K23" s="1761"/>
      <c r="L23" s="1761"/>
      <c r="M23" s="1761"/>
      <c r="N23" s="1761"/>
      <c r="O23" s="1761"/>
      <c r="P23" s="1761"/>
      <c r="Q23" s="1761"/>
      <c r="R23" s="1761"/>
      <c r="S23" s="1761"/>
      <c r="T23" s="55"/>
      <c r="U23" s="55"/>
      <c r="V23" s="54"/>
    </row>
    <row r="24" spans="1:22" x14ac:dyDescent="0.15">
      <c r="A24" s="54"/>
      <c r="B24" s="55"/>
      <c r="C24" s="1761"/>
      <c r="D24" s="1761"/>
      <c r="E24" s="1761"/>
      <c r="F24" s="1761"/>
      <c r="G24" s="1761"/>
      <c r="H24" s="1761"/>
      <c r="I24" s="1761"/>
      <c r="J24" s="1761"/>
      <c r="K24" s="1761"/>
      <c r="L24" s="1761"/>
      <c r="M24" s="1761"/>
      <c r="N24" s="1761"/>
      <c r="O24" s="1761"/>
      <c r="P24" s="1761"/>
      <c r="Q24" s="1761"/>
      <c r="R24" s="1761"/>
      <c r="S24" s="1761"/>
      <c r="T24" s="55"/>
      <c r="U24" s="55"/>
      <c r="V24" s="54"/>
    </row>
    <row r="25" spans="1:22" x14ac:dyDescent="0.15">
      <c r="A25" s="54"/>
      <c r="B25" s="55"/>
      <c r="C25" s="1761"/>
      <c r="D25" s="1761"/>
      <c r="E25" s="1761"/>
      <c r="F25" s="1761"/>
      <c r="G25" s="1761"/>
      <c r="H25" s="1761"/>
      <c r="I25" s="1761"/>
      <c r="J25" s="1761"/>
      <c r="K25" s="1761"/>
      <c r="L25" s="1761"/>
      <c r="M25" s="1761"/>
      <c r="N25" s="1761"/>
      <c r="O25" s="1761"/>
      <c r="P25" s="1761"/>
      <c r="Q25" s="1761"/>
      <c r="R25" s="1761"/>
      <c r="S25" s="1761"/>
      <c r="T25" s="55"/>
      <c r="U25" s="55"/>
      <c r="V25" s="54"/>
    </row>
    <row r="26" spans="1:22" x14ac:dyDescent="0.15">
      <c r="A26" s="54"/>
      <c r="B26" s="55"/>
      <c r="C26" s="1761"/>
      <c r="D26" s="1761"/>
      <c r="E26" s="1761"/>
      <c r="F26" s="1761"/>
      <c r="G26" s="1761"/>
      <c r="H26" s="1761"/>
      <c r="I26" s="1761"/>
      <c r="J26" s="1761"/>
      <c r="K26" s="1761"/>
      <c r="L26" s="1761"/>
      <c r="M26" s="1761"/>
      <c r="N26" s="1761"/>
      <c r="O26" s="1761"/>
      <c r="P26" s="1761"/>
      <c r="Q26" s="1761"/>
      <c r="R26" s="1761"/>
      <c r="S26" s="1761"/>
      <c r="T26" s="55"/>
      <c r="U26" s="55"/>
      <c r="V26" s="54"/>
    </row>
    <row r="27" spans="1:22" x14ac:dyDescent="0.15">
      <c r="A27" s="54"/>
      <c r="B27" s="55"/>
      <c r="C27" s="1761"/>
      <c r="D27" s="1761"/>
      <c r="E27" s="1761"/>
      <c r="F27" s="1761"/>
      <c r="G27" s="1761"/>
      <c r="H27" s="1761"/>
      <c r="I27" s="1761"/>
      <c r="J27" s="1761"/>
      <c r="K27" s="1761"/>
      <c r="L27" s="1761"/>
      <c r="M27" s="1761"/>
      <c r="N27" s="1761"/>
      <c r="O27" s="1761"/>
      <c r="P27" s="1761"/>
      <c r="Q27" s="1761"/>
      <c r="R27" s="1761"/>
      <c r="S27" s="1761"/>
      <c r="T27" s="55"/>
      <c r="U27" s="55"/>
      <c r="V27" s="54"/>
    </row>
    <row r="28" spans="1:22" x14ac:dyDescent="0.15">
      <c r="A28" s="54"/>
      <c r="B28" s="55"/>
      <c r="C28" s="1761"/>
      <c r="D28" s="1761"/>
      <c r="E28" s="1761"/>
      <c r="F28" s="1761"/>
      <c r="G28" s="1761"/>
      <c r="H28" s="1761"/>
      <c r="I28" s="1761"/>
      <c r="J28" s="1761"/>
      <c r="K28" s="1761"/>
      <c r="L28" s="1761"/>
      <c r="M28" s="1761"/>
      <c r="N28" s="1761"/>
      <c r="O28" s="1761"/>
      <c r="P28" s="1761"/>
      <c r="Q28" s="1761"/>
      <c r="R28" s="1761"/>
      <c r="S28" s="1761"/>
      <c r="T28" s="55"/>
      <c r="U28" s="55"/>
      <c r="V28" s="54"/>
    </row>
    <row r="29" spans="1:22" x14ac:dyDescent="0.15">
      <c r="A29" s="54"/>
      <c r="B29" s="55"/>
      <c r="C29" s="1761"/>
      <c r="D29" s="1761"/>
      <c r="E29" s="1761"/>
      <c r="F29" s="1761"/>
      <c r="G29" s="1761"/>
      <c r="H29" s="1761"/>
      <c r="I29" s="1761"/>
      <c r="J29" s="1761"/>
      <c r="K29" s="1761"/>
      <c r="L29" s="1761"/>
      <c r="M29" s="1761"/>
      <c r="N29" s="1761"/>
      <c r="O29" s="1761"/>
      <c r="P29" s="1761"/>
      <c r="Q29" s="1761"/>
      <c r="R29" s="1761"/>
      <c r="S29" s="1761"/>
      <c r="T29" s="55"/>
      <c r="U29" s="55"/>
      <c r="V29" s="54"/>
    </row>
    <row r="30" spans="1:22" x14ac:dyDescent="0.15">
      <c r="A30" s="54"/>
      <c r="B30" s="55"/>
      <c r="C30" s="1761"/>
      <c r="D30" s="1761"/>
      <c r="E30" s="1761"/>
      <c r="F30" s="1761"/>
      <c r="G30" s="1761"/>
      <c r="H30" s="1761"/>
      <c r="I30" s="1761"/>
      <c r="J30" s="1761"/>
      <c r="K30" s="1761"/>
      <c r="L30" s="1761"/>
      <c r="M30" s="1761"/>
      <c r="N30" s="1761"/>
      <c r="O30" s="1761"/>
      <c r="P30" s="1761"/>
      <c r="Q30" s="1761"/>
      <c r="R30" s="1761"/>
      <c r="S30" s="1761"/>
      <c r="T30" s="55"/>
      <c r="U30" s="55"/>
      <c r="V30" s="54"/>
    </row>
    <row r="31" spans="1:22" x14ac:dyDescent="0.15">
      <c r="A31" s="55"/>
      <c r="B31" s="55"/>
      <c r="C31" s="55"/>
      <c r="D31" s="55"/>
      <c r="E31" s="55"/>
      <c r="F31" s="55"/>
      <c r="G31" s="55"/>
      <c r="H31" s="55"/>
      <c r="I31" s="55"/>
      <c r="J31" s="55"/>
      <c r="K31" s="55"/>
      <c r="L31" s="55"/>
      <c r="M31" s="55"/>
      <c r="N31" s="55"/>
      <c r="O31" s="55"/>
      <c r="P31" s="55"/>
      <c r="Q31" s="55"/>
      <c r="R31" s="55"/>
      <c r="S31" s="55"/>
      <c r="T31" s="55"/>
      <c r="U31" s="54"/>
      <c r="V31" s="54"/>
    </row>
    <row r="32" spans="1:22" x14ac:dyDescent="0.15">
      <c r="A32" s="66"/>
      <c r="B32" s="66"/>
      <c r="C32" s="66"/>
      <c r="D32" s="66"/>
      <c r="E32" s="66"/>
      <c r="F32" s="66"/>
      <c r="G32" s="66"/>
      <c r="H32" s="66"/>
      <c r="I32" s="66"/>
      <c r="J32" s="66"/>
      <c r="K32" s="66"/>
      <c r="L32" s="66"/>
      <c r="M32" s="66"/>
      <c r="N32" s="66"/>
      <c r="O32" s="66"/>
      <c r="P32" s="66"/>
      <c r="Q32" s="66"/>
      <c r="R32" s="66"/>
      <c r="S32" s="66"/>
      <c r="T32" s="66"/>
      <c r="U32" s="66"/>
      <c r="V32" s="54"/>
    </row>
    <row r="33" spans="1:22" x14ac:dyDescent="0.15">
      <c r="A33" s="55"/>
      <c r="B33" s="55"/>
      <c r="C33" s="55"/>
      <c r="D33" s="55"/>
      <c r="E33" s="55"/>
      <c r="F33" s="55"/>
      <c r="G33" s="55"/>
      <c r="H33" s="55"/>
      <c r="I33" s="55"/>
      <c r="J33" s="55"/>
      <c r="K33" s="55"/>
      <c r="L33" s="55"/>
      <c r="M33" s="55"/>
      <c r="N33" s="55"/>
      <c r="O33" s="55"/>
      <c r="P33" s="55"/>
      <c r="Q33" s="55"/>
      <c r="R33" s="55"/>
      <c r="S33" s="55"/>
      <c r="T33" s="55"/>
      <c r="U33" s="55"/>
      <c r="V33" s="54"/>
    </row>
    <row r="34" spans="1:22" x14ac:dyDescent="0.15">
      <c r="A34" s="55"/>
      <c r="B34" s="55"/>
      <c r="C34" s="55"/>
      <c r="D34" s="55"/>
      <c r="E34" s="55"/>
      <c r="F34" s="55"/>
      <c r="G34" s="55"/>
      <c r="H34" s="55"/>
      <c r="I34" s="55"/>
      <c r="J34" s="55"/>
      <c r="K34" s="55"/>
      <c r="L34" s="55"/>
      <c r="M34" s="55"/>
      <c r="N34" s="55"/>
      <c r="O34" s="55"/>
      <c r="P34" s="55"/>
      <c r="Q34" s="55"/>
      <c r="R34" s="55"/>
      <c r="S34" s="55"/>
      <c r="T34" s="55"/>
      <c r="U34" s="55"/>
      <c r="V34" s="54"/>
    </row>
    <row r="35" spans="1:22" x14ac:dyDescent="0.15">
      <c r="A35" s="55"/>
      <c r="B35" s="55"/>
      <c r="C35" s="55"/>
      <c r="D35" s="55"/>
      <c r="E35" s="55"/>
      <c r="F35" s="55"/>
      <c r="G35" s="55"/>
      <c r="H35" s="55"/>
      <c r="I35" s="55"/>
      <c r="J35" s="55"/>
      <c r="K35" s="55"/>
      <c r="L35" s="55"/>
      <c r="M35" s="55"/>
      <c r="N35" s="55"/>
      <c r="O35" s="55"/>
      <c r="P35" s="55"/>
      <c r="Q35" s="55"/>
      <c r="R35" s="55"/>
      <c r="S35" s="55"/>
      <c r="T35" s="55"/>
      <c r="U35" s="55"/>
      <c r="V35" s="54"/>
    </row>
    <row r="36" spans="1:22" x14ac:dyDescent="0.15">
      <c r="A36" s="55"/>
      <c r="B36" s="55"/>
      <c r="C36" s="55"/>
      <c r="D36" s="55"/>
      <c r="E36" s="55"/>
      <c r="F36" s="55"/>
      <c r="G36" s="55"/>
      <c r="H36" s="55"/>
      <c r="I36" s="55"/>
      <c r="J36" s="55"/>
      <c r="K36" s="55"/>
      <c r="L36" s="55"/>
      <c r="M36" s="55"/>
      <c r="N36" s="55"/>
      <c r="O36" s="55"/>
      <c r="P36" s="55"/>
      <c r="Q36" s="55"/>
      <c r="R36" s="55"/>
      <c r="S36" s="55"/>
      <c r="T36" s="55"/>
      <c r="U36" s="55"/>
      <c r="V36" s="54"/>
    </row>
    <row r="37" spans="1:22" x14ac:dyDescent="0.15">
      <c r="A37" s="55"/>
      <c r="B37" s="55"/>
      <c r="C37" s="55"/>
      <c r="D37" s="55"/>
      <c r="E37" s="55"/>
      <c r="F37" s="55"/>
      <c r="G37" s="55"/>
      <c r="H37" s="55"/>
      <c r="I37" s="55"/>
      <c r="J37" s="55"/>
      <c r="K37" s="55"/>
      <c r="L37" s="55"/>
      <c r="M37" s="55"/>
      <c r="N37" s="55"/>
      <c r="O37" s="55"/>
      <c r="P37" s="55"/>
      <c r="Q37" s="55"/>
      <c r="R37" s="55"/>
      <c r="S37" s="55"/>
      <c r="T37" s="55"/>
      <c r="U37" s="55"/>
      <c r="V37" s="54"/>
    </row>
    <row r="38" spans="1:22" x14ac:dyDescent="0.15">
      <c r="A38" s="55"/>
      <c r="B38" s="55"/>
      <c r="C38" s="55"/>
      <c r="D38" s="55"/>
      <c r="E38" s="55"/>
      <c r="F38" s="55"/>
      <c r="G38" s="55"/>
      <c r="H38" s="55"/>
      <c r="I38" s="55"/>
      <c r="J38" s="55"/>
      <c r="K38" s="55"/>
      <c r="L38" s="55"/>
      <c r="M38" s="55"/>
      <c r="N38" s="55"/>
      <c r="O38" s="55"/>
      <c r="P38" s="55"/>
      <c r="Q38" s="55"/>
      <c r="R38" s="55"/>
      <c r="S38" s="55"/>
      <c r="T38" s="55"/>
      <c r="U38" s="55"/>
      <c r="V38" s="54"/>
    </row>
    <row r="39" spans="1:22" x14ac:dyDescent="0.15">
      <c r="A39" s="55"/>
      <c r="B39" s="55"/>
      <c r="C39" s="55"/>
      <c r="D39" s="55"/>
      <c r="E39" s="55"/>
      <c r="F39" s="55"/>
      <c r="G39" s="55"/>
      <c r="H39" s="55"/>
      <c r="I39" s="55"/>
      <c r="J39" s="55"/>
      <c r="K39" s="55"/>
      <c r="L39" s="55"/>
      <c r="M39" s="55"/>
      <c r="N39" s="55"/>
      <c r="O39" s="55"/>
      <c r="P39" s="55"/>
      <c r="Q39" s="55"/>
      <c r="R39" s="55"/>
      <c r="S39" s="55"/>
      <c r="T39" s="55"/>
      <c r="U39" s="55"/>
      <c r="V39" s="54"/>
    </row>
    <row r="40" spans="1:22" x14ac:dyDescent="0.15">
      <c r="A40" s="55"/>
      <c r="B40" s="55"/>
      <c r="C40" s="55"/>
      <c r="D40" s="55"/>
      <c r="E40" s="55"/>
      <c r="F40" s="55"/>
      <c r="G40" s="55"/>
      <c r="H40" s="55"/>
      <c r="I40" s="55"/>
      <c r="J40" s="55"/>
      <c r="K40" s="55"/>
      <c r="L40" s="55"/>
      <c r="M40" s="55"/>
      <c r="N40" s="55"/>
      <c r="O40" s="55"/>
      <c r="P40" s="55"/>
      <c r="Q40" s="55"/>
      <c r="R40" s="55"/>
      <c r="S40" s="55"/>
      <c r="T40" s="55"/>
      <c r="U40" s="55"/>
      <c r="V40" s="54"/>
    </row>
    <row r="41" spans="1:22" x14ac:dyDescent="0.15">
      <c r="A41" s="55"/>
      <c r="B41" s="55"/>
      <c r="C41" s="55"/>
      <c r="D41" s="55"/>
      <c r="E41" s="55"/>
      <c r="F41" s="55"/>
      <c r="G41" s="55"/>
      <c r="H41" s="55"/>
      <c r="I41" s="55"/>
      <c r="J41" s="55"/>
      <c r="K41" s="55"/>
      <c r="L41" s="55"/>
      <c r="M41" s="55"/>
      <c r="N41" s="55"/>
      <c r="O41" s="55"/>
      <c r="P41" s="55"/>
      <c r="Q41" s="55"/>
      <c r="R41" s="55"/>
      <c r="S41" s="55"/>
      <c r="T41" s="55"/>
      <c r="U41" s="55"/>
      <c r="V41" s="54"/>
    </row>
    <row r="42" spans="1:22" x14ac:dyDescent="0.15">
      <c r="A42" s="55"/>
      <c r="B42" s="55"/>
      <c r="C42" s="55"/>
      <c r="D42" s="55"/>
      <c r="E42" s="55"/>
      <c r="F42" s="55"/>
      <c r="G42" s="55"/>
      <c r="H42" s="55"/>
      <c r="I42" s="55"/>
      <c r="J42" s="55"/>
      <c r="K42" s="55"/>
      <c r="L42" s="55"/>
      <c r="M42" s="55"/>
      <c r="N42" s="55"/>
      <c r="O42" s="55"/>
      <c r="P42" s="55"/>
      <c r="Q42" s="55"/>
      <c r="R42" s="55"/>
      <c r="S42" s="55"/>
      <c r="T42" s="55"/>
      <c r="U42" s="55"/>
      <c r="V42" s="54"/>
    </row>
    <row r="43" spans="1:22" x14ac:dyDescent="0.15">
      <c r="A43" s="55"/>
      <c r="B43" s="55"/>
      <c r="C43" s="55"/>
      <c r="D43" s="55"/>
      <c r="E43" s="55"/>
      <c r="F43" s="55"/>
      <c r="G43" s="55"/>
      <c r="H43" s="55"/>
      <c r="I43" s="55"/>
      <c r="J43" s="55"/>
      <c r="K43" s="55"/>
      <c r="L43" s="55"/>
      <c r="M43" s="55"/>
      <c r="N43" s="55"/>
      <c r="O43" s="55"/>
      <c r="P43" s="55"/>
      <c r="Q43" s="55"/>
      <c r="R43" s="55"/>
      <c r="S43" s="55"/>
      <c r="T43" s="55"/>
      <c r="U43" s="55"/>
      <c r="V43" s="54"/>
    </row>
    <row r="44" spans="1:22" x14ac:dyDescent="0.15">
      <c r="A44" s="55"/>
      <c r="B44" s="55"/>
      <c r="C44" s="55"/>
      <c r="D44" s="55"/>
      <c r="E44" s="55"/>
      <c r="F44" s="55"/>
      <c r="G44" s="55"/>
      <c r="H44" s="55"/>
      <c r="I44" s="55"/>
      <c r="J44" s="55"/>
      <c r="K44" s="55"/>
      <c r="L44" s="55"/>
      <c r="M44" s="55"/>
      <c r="N44" s="55"/>
      <c r="O44" s="55"/>
      <c r="P44" s="55"/>
      <c r="Q44" s="55"/>
      <c r="R44" s="55"/>
      <c r="S44" s="55"/>
      <c r="T44" s="55"/>
      <c r="U44" s="55"/>
      <c r="V44" s="54"/>
    </row>
    <row r="45" spans="1:22" x14ac:dyDescent="0.15">
      <c r="A45" s="55"/>
      <c r="B45" s="55"/>
      <c r="C45" s="55"/>
      <c r="D45" s="55"/>
      <c r="E45" s="55"/>
      <c r="F45" s="55"/>
      <c r="G45" s="55"/>
      <c r="H45" s="55"/>
      <c r="I45" s="55"/>
      <c r="J45" s="55"/>
      <c r="K45" s="55"/>
      <c r="L45" s="55"/>
      <c r="M45" s="55"/>
      <c r="N45" s="55"/>
      <c r="O45" s="55"/>
      <c r="P45" s="55"/>
      <c r="Q45" s="55"/>
      <c r="R45" s="55"/>
      <c r="S45" s="55"/>
      <c r="T45" s="55"/>
      <c r="U45" s="55"/>
      <c r="V45" s="54"/>
    </row>
    <row r="46" spans="1:22" x14ac:dyDescent="0.15">
      <c r="A46" s="55"/>
      <c r="B46" s="55"/>
      <c r="C46" s="55"/>
      <c r="D46" s="55"/>
      <c r="E46" s="55"/>
      <c r="F46" s="55"/>
      <c r="G46" s="55"/>
      <c r="H46" s="55"/>
      <c r="I46" s="55"/>
      <c r="J46" s="55"/>
      <c r="K46" s="55"/>
      <c r="L46" s="55"/>
      <c r="M46" s="55"/>
      <c r="N46" s="55"/>
      <c r="O46" s="55"/>
      <c r="P46" s="55"/>
      <c r="Q46" s="55"/>
      <c r="R46" s="55"/>
      <c r="S46" s="55"/>
      <c r="T46" s="55"/>
      <c r="U46" s="55"/>
      <c r="V46" s="54"/>
    </row>
    <row r="47" spans="1:22" x14ac:dyDescent="0.15">
      <c r="A47" s="55"/>
      <c r="B47" s="55"/>
      <c r="C47" s="55"/>
      <c r="D47" s="55"/>
      <c r="E47" s="55"/>
      <c r="F47" s="55"/>
      <c r="G47" s="55"/>
      <c r="H47" s="55"/>
      <c r="I47" s="55"/>
      <c r="J47" s="55"/>
      <c r="K47" s="55"/>
      <c r="L47" s="55"/>
      <c r="M47" s="55"/>
      <c r="N47" s="55"/>
      <c r="O47" s="55"/>
      <c r="P47" s="55"/>
      <c r="Q47" s="55"/>
      <c r="R47" s="55"/>
      <c r="S47" s="55"/>
      <c r="T47" s="55"/>
      <c r="U47" s="55"/>
      <c r="V47" s="54"/>
    </row>
    <row r="48" spans="1:22" x14ac:dyDescent="0.15">
      <c r="A48" s="55"/>
      <c r="B48" s="55"/>
      <c r="C48" s="55"/>
      <c r="D48" s="55"/>
      <c r="E48" s="55"/>
      <c r="F48" s="55"/>
      <c r="G48" s="55"/>
      <c r="H48" s="55"/>
      <c r="I48" s="55"/>
      <c r="J48" s="55"/>
      <c r="K48" s="55"/>
      <c r="L48" s="55"/>
      <c r="M48" s="55"/>
      <c r="N48" s="55"/>
      <c r="O48" s="55"/>
      <c r="P48" s="55"/>
      <c r="Q48" s="55"/>
      <c r="R48" s="55"/>
      <c r="S48" s="55"/>
      <c r="T48" s="55"/>
      <c r="U48" s="55"/>
      <c r="V48" s="54"/>
    </row>
    <row r="49" spans="1:22" x14ac:dyDescent="0.15">
      <c r="A49" s="55"/>
      <c r="B49" s="55"/>
      <c r="C49" s="55"/>
      <c r="D49" s="55"/>
      <c r="E49" s="55"/>
      <c r="F49" s="55"/>
      <c r="G49" s="55"/>
      <c r="H49" s="55"/>
      <c r="I49" s="55"/>
      <c r="J49" s="55"/>
      <c r="K49" s="55"/>
      <c r="L49" s="55"/>
      <c r="M49" s="55"/>
      <c r="N49" s="55"/>
      <c r="O49" s="55"/>
      <c r="P49" s="55"/>
      <c r="Q49" s="55"/>
      <c r="R49" s="55"/>
      <c r="S49" s="55"/>
      <c r="T49" s="55"/>
      <c r="U49" s="55"/>
      <c r="V49" s="54"/>
    </row>
    <row r="50" spans="1:22" x14ac:dyDescent="0.15">
      <c r="A50" s="55"/>
      <c r="B50" s="55"/>
      <c r="C50" s="55"/>
      <c r="D50" s="55"/>
      <c r="E50" s="55"/>
      <c r="F50" s="55"/>
      <c r="G50" s="55"/>
      <c r="H50" s="55"/>
      <c r="I50" s="55"/>
      <c r="J50" s="55"/>
      <c r="K50" s="55"/>
      <c r="L50" s="55"/>
      <c r="M50" s="55"/>
      <c r="N50" s="55"/>
      <c r="O50" s="55"/>
      <c r="P50" s="55"/>
      <c r="Q50" s="55"/>
      <c r="R50" s="55"/>
      <c r="S50" s="55"/>
      <c r="T50" s="55"/>
      <c r="U50" s="55"/>
      <c r="V50" s="54"/>
    </row>
    <row r="51" spans="1:22" x14ac:dyDescent="0.15">
      <c r="A51" s="55"/>
      <c r="B51" s="55"/>
      <c r="C51" s="55"/>
      <c r="D51" s="55"/>
      <c r="E51" s="55"/>
      <c r="F51" s="55"/>
      <c r="G51" s="55"/>
      <c r="H51" s="55"/>
      <c r="I51" s="55"/>
      <c r="J51" s="55"/>
      <c r="K51" s="55"/>
      <c r="L51" s="55"/>
      <c r="M51" s="55"/>
      <c r="N51" s="55"/>
      <c r="O51" s="55"/>
      <c r="P51" s="55"/>
      <c r="Q51" s="55"/>
      <c r="R51" s="55"/>
      <c r="S51" s="55"/>
      <c r="T51" s="55"/>
      <c r="U51" s="55"/>
      <c r="V51" s="54"/>
    </row>
    <row r="52" spans="1:22" x14ac:dyDescent="0.15">
      <c r="A52" s="55"/>
      <c r="B52" s="55"/>
      <c r="C52" s="55"/>
      <c r="D52" s="55"/>
      <c r="E52" s="55"/>
      <c r="F52" s="55"/>
      <c r="G52" s="55"/>
      <c r="H52" s="55"/>
      <c r="I52" s="55"/>
      <c r="J52" s="55"/>
      <c r="K52" s="55"/>
      <c r="L52" s="55"/>
      <c r="M52" s="55"/>
      <c r="N52" s="55"/>
      <c r="O52" s="55"/>
      <c r="P52" s="55"/>
      <c r="Q52" s="55"/>
      <c r="R52" s="55"/>
      <c r="S52" s="55"/>
      <c r="T52" s="55"/>
      <c r="U52" s="55"/>
      <c r="V52" s="54"/>
    </row>
    <row r="53" spans="1:22" x14ac:dyDescent="0.15">
      <c r="A53" s="55"/>
      <c r="B53" s="55"/>
      <c r="C53" s="55"/>
      <c r="D53" s="55"/>
      <c r="E53" s="55"/>
      <c r="F53" s="55"/>
      <c r="G53" s="55"/>
      <c r="H53" s="55"/>
      <c r="I53" s="55"/>
      <c r="J53" s="55"/>
      <c r="K53" s="55"/>
      <c r="L53" s="55"/>
      <c r="M53" s="55"/>
      <c r="N53" s="55"/>
      <c r="O53" s="55"/>
      <c r="P53" s="55"/>
      <c r="Q53" s="55"/>
      <c r="R53" s="55"/>
      <c r="S53" s="55"/>
      <c r="T53" s="55"/>
      <c r="U53" s="55"/>
      <c r="V53" s="54"/>
    </row>
    <row r="54" spans="1:22" x14ac:dyDescent="0.15">
      <c r="A54" s="55"/>
      <c r="B54" s="55"/>
      <c r="C54" s="55"/>
      <c r="D54" s="55"/>
      <c r="E54" s="55"/>
      <c r="F54" s="55"/>
      <c r="G54" s="55"/>
      <c r="H54" s="55"/>
      <c r="I54" s="55"/>
      <c r="J54" s="55"/>
      <c r="K54" s="55"/>
      <c r="L54" s="55"/>
      <c r="M54" s="55"/>
      <c r="N54" s="55"/>
      <c r="O54" s="55"/>
      <c r="P54" s="55"/>
      <c r="Q54" s="55"/>
      <c r="R54" s="55"/>
      <c r="S54" s="55"/>
      <c r="T54" s="55"/>
      <c r="U54" s="55"/>
      <c r="V54" s="54"/>
    </row>
    <row r="55" spans="1:22" x14ac:dyDescent="0.15">
      <c r="A55" s="55"/>
      <c r="B55" s="55"/>
      <c r="C55" s="55"/>
      <c r="D55" s="55"/>
      <c r="E55" s="55"/>
      <c r="F55" s="55"/>
      <c r="G55" s="55"/>
      <c r="H55" s="55"/>
      <c r="I55" s="55"/>
      <c r="J55" s="55"/>
      <c r="K55" s="55"/>
      <c r="L55" s="55"/>
      <c r="M55" s="55"/>
      <c r="N55" s="55"/>
      <c r="O55" s="55"/>
      <c r="P55" s="55"/>
      <c r="Q55" s="55"/>
      <c r="R55" s="55"/>
      <c r="S55" s="55"/>
      <c r="T55" s="55"/>
      <c r="U55" s="55"/>
      <c r="V55" s="54"/>
    </row>
    <row r="56" spans="1:22" x14ac:dyDescent="0.15">
      <c r="A56" s="55"/>
      <c r="B56" s="55"/>
      <c r="C56" s="55"/>
      <c r="D56" s="55"/>
      <c r="E56" s="55"/>
      <c r="F56" s="55"/>
      <c r="G56" s="55"/>
      <c r="H56" s="55"/>
      <c r="I56" s="55"/>
      <c r="J56" s="55"/>
      <c r="K56" s="55"/>
      <c r="L56" s="55"/>
      <c r="M56" s="55"/>
      <c r="N56" s="55"/>
      <c r="O56" s="55"/>
      <c r="P56" s="55"/>
      <c r="Q56" s="55"/>
      <c r="R56" s="55"/>
      <c r="S56" s="55"/>
      <c r="T56" s="55"/>
      <c r="U56" s="55"/>
      <c r="V56" s="54"/>
    </row>
    <row r="57" spans="1:22" x14ac:dyDescent="0.15">
      <c r="A57" s="55"/>
      <c r="B57" s="55"/>
      <c r="C57" s="55"/>
      <c r="D57" s="55"/>
      <c r="E57" s="55"/>
      <c r="F57" s="55"/>
      <c r="G57" s="55"/>
      <c r="H57" s="55"/>
      <c r="I57" s="55"/>
      <c r="J57" s="55"/>
      <c r="K57" s="55"/>
      <c r="L57" s="55"/>
      <c r="M57" s="55"/>
      <c r="N57" s="55"/>
      <c r="O57" s="55"/>
      <c r="P57" s="55"/>
      <c r="Q57" s="55"/>
      <c r="R57" s="55"/>
      <c r="S57" s="55"/>
      <c r="T57" s="55"/>
      <c r="U57" s="55"/>
      <c r="V57" s="54"/>
    </row>
    <row r="58" spans="1:22" x14ac:dyDescent="0.15">
      <c r="A58" s="55"/>
      <c r="B58" s="55"/>
      <c r="C58" s="55"/>
      <c r="D58" s="55"/>
      <c r="E58" s="55"/>
      <c r="F58" s="55"/>
      <c r="G58" s="55"/>
      <c r="H58" s="55"/>
      <c r="I58" s="55"/>
      <c r="J58" s="55"/>
      <c r="K58" s="55"/>
      <c r="L58" s="55"/>
      <c r="M58" s="55"/>
      <c r="N58" s="55"/>
      <c r="O58" s="55"/>
      <c r="P58" s="55"/>
      <c r="Q58" s="55"/>
      <c r="R58" s="55"/>
      <c r="S58" s="55"/>
      <c r="T58" s="55"/>
      <c r="U58" s="55"/>
      <c r="V58" s="54"/>
    </row>
    <row r="59" spans="1:22" x14ac:dyDescent="0.15">
      <c r="A59" s="55"/>
      <c r="B59" s="55"/>
      <c r="C59" s="55"/>
      <c r="D59" s="55"/>
      <c r="E59" s="55"/>
      <c r="F59" s="55"/>
      <c r="G59" s="55"/>
      <c r="H59" s="55"/>
      <c r="I59" s="55"/>
      <c r="J59" s="55"/>
      <c r="K59" s="55"/>
      <c r="L59" s="55"/>
      <c r="M59" s="55"/>
      <c r="N59" s="55"/>
      <c r="O59" s="55"/>
      <c r="P59" s="55"/>
      <c r="Q59" s="55"/>
      <c r="R59" s="55"/>
      <c r="S59" s="55"/>
      <c r="T59" s="55"/>
      <c r="U59" s="55"/>
      <c r="V59" s="54"/>
    </row>
    <row r="60" spans="1:22" x14ac:dyDescent="0.15">
      <c r="A60" s="55"/>
      <c r="B60" s="55"/>
      <c r="C60" s="55"/>
      <c r="D60" s="55"/>
      <c r="E60" s="55"/>
      <c r="F60" s="55"/>
      <c r="G60" s="55"/>
      <c r="H60" s="55"/>
      <c r="I60" s="55"/>
      <c r="J60" s="55"/>
      <c r="K60" s="55"/>
      <c r="L60" s="55"/>
      <c r="M60" s="55"/>
      <c r="N60" s="55"/>
      <c r="O60" s="55"/>
      <c r="P60" s="55"/>
      <c r="Q60" s="55"/>
      <c r="R60" s="55"/>
      <c r="S60" s="55"/>
      <c r="T60" s="55"/>
      <c r="U60" s="55"/>
      <c r="V60" s="54"/>
    </row>
    <row r="61" spans="1:22" x14ac:dyDescent="0.15">
      <c r="A61" s="55"/>
      <c r="B61" s="55"/>
      <c r="C61" s="55"/>
      <c r="D61" s="55"/>
      <c r="E61" s="55"/>
      <c r="F61" s="55"/>
      <c r="G61" s="55"/>
      <c r="H61" s="55"/>
      <c r="I61" s="55"/>
      <c r="J61" s="55"/>
      <c r="K61" s="55"/>
      <c r="L61" s="55"/>
      <c r="M61" s="55"/>
      <c r="N61" s="55"/>
      <c r="O61" s="55"/>
      <c r="P61" s="55"/>
      <c r="Q61" s="55"/>
      <c r="R61" s="55"/>
      <c r="S61" s="55"/>
      <c r="T61" s="55"/>
      <c r="U61" s="55"/>
      <c r="V61" s="54"/>
    </row>
    <row r="62" spans="1:22" x14ac:dyDescent="0.15">
      <c r="A62" s="55"/>
      <c r="B62" s="55"/>
      <c r="C62" s="55"/>
      <c r="D62" s="55"/>
      <c r="E62" s="55"/>
      <c r="F62" s="55"/>
      <c r="G62" s="55"/>
      <c r="H62" s="55"/>
      <c r="I62" s="55"/>
      <c r="J62" s="55"/>
      <c r="K62" s="55"/>
      <c r="L62" s="55"/>
      <c r="M62" s="55"/>
      <c r="N62" s="55"/>
      <c r="O62" s="55"/>
      <c r="P62" s="55"/>
      <c r="Q62" s="55"/>
      <c r="R62" s="55"/>
      <c r="S62" s="55"/>
      <c r="T62" s="55"/>
      <c r="U62" s="55"/>
      <c r="V62" s="54"/>
    </row>
    <row r="63" spans="1:22" x14ac:dyDescent="0.15">
      <c r="A63" s="55"/>
      <c r="B63" s="55"/>
      <c r="C63" s="55"/>
      <c r="D63" s="55"/>
      <c r="E63" s="55"/>
      <c r="F63" s="55"/>
      <c r="G63" s="55"/>
      <c r="H63" s="55"/>
      <c r="I63" s="55"/>
      <c r="J63" s="55"/>
      <c r="K63" s="55"/>
      <c r="L63" s="55"/>
      <c r="M63" s="55"/>
      <c r="N63" s="55"/>
      <c r="O63" s="55"/>
      <c r="P63" s="55"/>
      <c r="Q63" s="55"/>
      <c r="R63" s="55"/>
      <c r="S63" s="55"/>
      <c r="T63" s="55"/>
      <c r="U63" s="55"/>
      <c r="V63" s="54"/>
    </row>
    <row r="64" spans="1:22" x14ac:dyDescent="0.15">
      <c r="A64" s="55"/>
      <c r="B64" s="55"/>
      <c r="C64" s="55"/>
      <c r="D64" s="55"/>
      <c r="E64" s="55"/>
      <c r="F64" s="55"/>
      <c r="G64" s="55"/>
      <c r="H64" s="55"/>
      <c r="I64" s="55"/>
      <c r="J64" s="55"/>
      <c r="K64" s="55"/>
      <c r="L64" s="55"/>
      <c r="M64" s="55"/>
      <c r="N64" s="55"/>
      <c r="O64" s="55"/>
      <c r="P64" s="55"/>
      <c r="Q64" s="55"/>
      <c r="R64" s="55"/>
      <c r="S64" s="55"/>
      <c r="T64" s="55"/>
      <c r="U64" s="55"/>
      <c r="V64" s="54"/>
    </row>
    <row r="65" spans="1:22" x14ac:dyDescent="0.15">
      <c r="A65" s="55"/>
      <c r="B65" s="55"/>
      <c r="C65" s="55"/>
      <c r="D65" s="55"/>
      <c r="E65" s="55"/>
      <c r="F65" s="55"/>
      <c r="G65" s="55"/>
      <c r="H65" s="55"/>
      <c r="I65" s="55"/>
      <c r="J65" s="55"/>
      <c r="K65" s="55"/>
      <c r="L65" s="55"/>
      <c r="M65" s="55"/>
      <c r="N65" s="55"/>
      <c r="O65" s="55"/>
      <c r="P65" s="55"/>
      <c r="Q65" s="55"/>
      <c r="R65" s="55"/>
      <c r="S65" s="55"/>
      <c r="T65" s="55"/>
      <c r="U65" s="55"/>
      <c r="V65" s="54"/>
    </row>
    <row r="66" spans="1:22" x14ac:dyDescent="0.15">
      <c r="A66" s="55"/>
      <c r="B66" s="55"/>
      <c r="C66" s="55"/>
      <c r="D66" s="55"/>
      <c r="E66" s="55"/>
      <c r="F66" s="55"/>
      <c r="G66" s="55"/>
      <c r="H66" s="55"/>
      <c r="I66" s="55"/>
      <c r="J66" s="55"/>
      <c r="K66" s="55"/>
      <c r="L66" s="55"/>
      <c r="M66" s="55"/>
      <c r="N66" s="55"/>
      <c r="O66" s="55"/>
      <c r="P66" s="55"/>
      <c r="Q66" s="55"/>
      <c r="R66" s="55"/>
      <c r="S66" s="55"/>
      <c r="T66" s="55"/>
      <c r="U66" s="55"/>
      <c r="V66" s="54"/>
    </row>
    <row r="67" spans="1:22" x14ac:dyDescent="0.15">
      <c r="A67" s="55"/>
      <c r="B67" s="55"/>
      <c r="C67" s="55"/>
      <c r="D67" s="55"/>
      <c r="E67" s="55"/>
      <c r="F67" s="55"/>
      <c r="G67" s="55"/>
      <c r="H67" s="55"/>
      <c r="I67" s="55"/>
      <c r="J67" s="55"/>
      <c r="K67" s="55"/>
      <c r="L67" s="55"/>
      <c r="M67" s="55"/>
      <c r="N67" s="55"/>
      <c r="O67" s="55"/>
      <c r="P67" s="55"/>
      <c r="Q67" s="55"/>
      <c r="R67" s="55"/>
      <c r="S67" s="55"/>
      <c r="T67" s="55"/>
      <c r="U67" s="55"/>
      <c r="V67" s="54"/>
    </row>
    <row r="68" spans="1:22" x14ac:dyDescent="0.15">
      <c r="A68" s="55"/>
      <c r="B68" s="55"/>
      <c r="C68" s="55"/>
      <c r="D68" s="55"/>
      <c r="E68" s="55"/>
      <c r="F68" s="55"/>
      <c r="G68" s="55"/>
      <c r="H68" s="55"/>
      <c r="I68" s="55"/>
      <c r="J68" s="55"/>
      <c r="K68" s="55"/>
      <c r="L68" s="55"/>
      <c r="M68" s="55"/>
      <c r="N68" s="55"/>
      <c r="O68" s="55"/>
      <c r="P68" s="55"/>
      <c r="Q68" s="55"/>
      <c r="R68" s="55"/>
      <c r="S68" s="55"/>
      <c r="T68" s="55"/>
      <c r="U68" s="55"/>
      <c r="V68" s="54"/>
    </row>
    <row r="69" spans="1:22" x14ac:dyDescent="0.15">
      <c r="A69" s="55"/>
      <c r="B69" s="55"/>
      <c r="C69" s="55"/>
      <c r="D69" s="55"/>
      <c r="E69" s="55"/>
      <c r="F69" s="55"/>
      <c r="G69" s="55"/>
      <c r="H69" s="55"/>
      <c r="I69" s="55"/>
      <c r="J69" s="55"/>
      <c r="K69" s="55"/>
      <c r="L69" s="55"/>
      <c r="M69" s="55"/>
      <c r="N69" s="55"/>
      <c r="O69" s="55"/>
      <c r="P69" s="55"/>
      <c r="Q69" s="55"/>
      <c r="R69" s="55"/>
      <c r="S69" s="55"/>
      <c r="T69" s="55"/>
      <c r="U69" s="55"/>
      <c r="V69" s="54"/>
    </row>
    <row r="70" spans="1:22" x14ac:dyDescent="0.15">
      <c r="A70" s="55"/>
      <c r="B70" s="55"/>
      <c r="C70" s="55"/>
      <c r="D70" s="55"/>
      <c r="E70" s="55"/>
      <c r="F70" s="55"/>
      <c r="G70" s="55"/>
      <c r="H70" s="55"/>
      <c r="I70" s="55"/>
      <c r="J70" s="55"/>
      <c r="K70" s="55"/>
      <c r="L70" s="55"/>
      <c r="M70" s="55"/>
      <c r="N70" s="55"/>
      <c r="O70" s="55"/>
      <c r="P70" s="55"/>
      <c r="Q70" s="55"/>
      <c r="R70" s="55"/>
      <c r="S70" s="55"/>
      <c r="T70" s="55"/>
      <c r="U70" s="55"/>
      <c r="V70" s="54"/>
    </row>
    <row r="71" spans="1:22" x14ac:dyDescent="0.15">
      <c r="A71" s="55"/>
      <c r="B71" s="55"/>
      <c r="C71" s="55"/>
      <c r="D71" s="55"/>
      <c r="E71" s="55"/>
      <c r="F71" s="55"/>
      <c r="G71" s="55"/>
      <c r="H71" s="55"/>
      <c r="I71" s="55"/>
      <c r="J71" s="55"/>
      <c r="K71" s="55"/>
      <c r="L71" s="55"/>
      <c r="M71" s="55"/>
      <c r="N71" s="55"/>
      <c r="O71" s="55"/>
      <c r="P71" s="55"/>
      <c r="Q71" s="55"/>
      <c r="R71" s="55"/>
      <c r="S71" s="55"/>
      <c r="T71" s="55"/>
      <c r="U71" s="55"/>
      <c r="V71" s="54"/>
    </row>
    <row r="72" spans="1:22" x14ac:dyDescent="0.15">
      <c r="A72" s="55"/>
      <c r="B72" s="55"/>
      <c r="C72" s="55"/>
      <c r="D72" s="55"/>
      <c r="E72" s="55"/>
      <c r="F72" s="55"/>
      <c r="G72" s="55"/>
      <c r="H72" s="55"/>
      <c r="I72" s="55"/>
      <c r="J72" s="55"/>
      <c r="K72" s="55"/>
      <c r="L72" s="55"/>
      <c r="M72" s="55"/>
      <c r="N72" s="55"/>
      <c r="O72" s="55"/>
      <c r="P72" s="55"/>
      <c r="Q72" s="55"/>
      <c r="R72" s="55"/>
      <c r="S72" s="55"/>
      <c r="T72" s="55"/>
      <c r="U72" s="55"/>
      <c r="V72" s="54"/>
    </row>
    <row r="73" spans="1:22" x14ac:dyDescent="0.15">
      <c r="A73" s="55"/>
      <c r="B73" s="55"/>
      <c r="C73" s="55"/>
      <c r="D73" s="55"/>
      <c r="E73" s="55"/>
      <c r="F73" s="55"/>
      <c r="G73" s="55"/>
      <c r="H73" s="55"/>
      <c r="I73" s="55"/>
      <c r="J73" s="55"/>
      <c r="K73" s="55"/>
      <c r="L73" s="55"/>
      <c r="M73" s="55"/>
      <c r="N73" s="55"/>
      <c r="O73" s="55"/>
      <c r="P73" s="55"/>
      <c r="Q73" s="55"/>
      <c r="R73" s="55"/>
      <c r="S73" s="55"/>
      <c r="T73" s="55"/>
      <c r="U73" s="55"/>
      <c r="V73" s="54"/>
    </row>
    <row r="74" spans="1:22" x14ac:dyDescent="0.15">
      <c r="A74" s="55"/>
      <c r="B74" s="55"/>
      <c r="C74" s="55"/>
      <c r="D74" s="55"/>
      <c r="E74" s="55"/>
      <c r="F74" s="55"/>
      <c r="G74" s="55"/>
      <c r="H74" s="55"/>
      <c r="I74" s="55"/>
      <c r="J74" s="55"/>
      <c r="K74" s="55"/>
      <c r="L74" s="55"/>
      <c r="M74" s="55"/>
      <c r="N74" s="55"/>
      <c r="O74" s="55"/>
      <c r="P74" s="55"/>
      <c r="Q74" s="55"/>
      <c r="R74" s="55"/>
      <c r="S74" s="55"/>
      <c r="T74" s="55"/>
      <c r="U74" s="55"/>
      <c r="V74" s="54"/>
    </row>
    <row r="75" spans="1:22" x14ac:dyDescent="0.15">
      <c r="A75" s="55"/>
      <c r="B75" s="55"/>
      <c r="C75" s="55"/>
      <c r="D75" s="55"/>
      <c r="E75" s="55"/>
      <c r="F75" s="55"/>
      <c r="G75" s="55"/>
      <c r="H75" s="55"/>
      <c r="I75" s="55"/>
      <c r="J75" s="55"/>
      <c r="K75" s="55"/>
      <c r="L75" s="55"/>
      <c r="M75" s="55"/>
      <c r="N75" s="55"/>
      <c r="O75" s="55"/>
      <c r="P75" s="55"/>
      <c r="Q75" s="55"/>
      <c r="R75" s="55"/>
      <c r="S75" s="55"/>
      <c r="T75" s="55"/>
      <c r="U75" s="55"/>
      <c r="V75" s="54"/>
    </row>
    <row r="76" spans="1:22" x14ac:dyDescent="0.15">
      <c r="A76" s="55"/>
      <c r="B76" s="55"/>
      <c r="C76" s="55"/>
      <c r="D76" s="55"/>
      <c r="E76" s="55"/>
      <c r="F76" s="55"/>
      <c r="G76" s="55"/>
      <c r="H76" s="55"/>
      <c r="I76" s="55"/>
      <c r="J76" s="55"/>
      <c r="K76" s="55"/>
      <c r="L76" s="55"/>
      <c r="M76" s="55"/>
      <c r="N76" s="55"/>
      <c r="O76" s="55"/>
      <c r="P76" s="55"/>
      <c r="Q76" s="55"/>
      <c r="R76" s="55"/>
      <c r="S76" s="55"/>
      <c r="T76" s="55"/>
      <c r="U76" s="55"/>
      <c r="V76" s="54"/>
    </row>
    <row r="77" spans="1:22" x14ac:dyDescent="0.15">
      <c r="A77" s="55"/>
      <c r="B77" s="55"/>
      <c r="C77" s="55"/>
      <c r="D77" s="55"/>
      <c r="E77" s="55"/>
      <c r="F77" s="55"/>
      <c r="G77" s="55"/>
      <c r="H77" s="55"/>
      <c r="I77" s="55"/>
      <c r="J77" s="55"/>
      <c r="K77" s="55"/>
      <c r="L77" s="55"/>
      <c r="M77" s="55"/>
      <c r="N77" s="55"/>
      <c r="O77" s="55"/>
      <c r="P77" s="55"/>
      <c r="Q77" s="55"/>
      <c r="R77" s="55"/>
      <c r="S77" s="55"/>
      <c r="T77" s="55"/>
      <c r="U77" s="55"/>
      <c r="V77" s="54"/>
    </row>
    <row r="78" spans="1:22" x14ac:dyDescent="0.15">
      <c r="A78" s="55"/>
      <c r="B78" s="55"/>
      <c r="C78" s="55"/>
      <c r="D78" s="55"/>
      <c r="E78" s="55"/>
      <c r="F78" s="55"/>
      <c r="G78" s="55"/>
      <c r="H78" s="55"/>
      <c r="I78" s="55"/>
      <c r="J78" s="55"/>
      <c r="K78" s="55"/>
      <c r="L78" s="55"/>
      <c r="M78" s="55"/>
      <c r="N78" s="55"/>
      <c r="O78" s="55"/>
      <c r="P78" s="55"/>
      <c r="Q78" s="55"/>
      <c r="R78" s="55"/>
      <c r="S78" s="55"/>
      <c r="T78" s="55"/>
      <c r="U78" s="55"/>
      <c r="V78" s="54"/>
    </row>
    <row r="79" spans="1:22" x14ac:dyDescent="0.15">
      <c r="A79" s="55"/>
      <c r="B79" s="55"/>
      <c r="C79" s="55"/>
      <c r="D79" s="55"/>
      <c r="E79" s="55"/>
      <c r="F79" s="55"/>
      <c r="G79" s="55"/>
      <c r="H79" s="55"/>
      <c r="I79" s="55"/>
      <c r="J79" s="55"/>
      <c r="K79" s="55"/>
      <c r="L79" s="55"/>
      <c r="M79" s="55"/>
      <c r="N79" s="55"/>
      <c r="O79" s="55"/>
      <c r="P79" s="55"/>
      <c r="Q79" s="55"/>
      <c r="R79" s="55"/>
      <c r="S79" s="55"/>
      <c r="T79" s="55"/>
      <c r="U79" s="55"/>
      <c r="V79" s="54"/>
    </row>
    <row r="80" spans="1:22" x14ac:dyDescent="0.15">
      <c r="A80" s="55"/>
      <c r="B80" s="55"/>
      <c r="C80" s="55"/>
      <c r="D80" s="55"/>
      <c r="E80" s="55"/>
      <c r="F80" s="55"/>
      <c r="G80" s="55"/>
      <c r="H80" s="55"/>
      <c r="I80" s="55"/>
      <c r="J80" s="55"/>
      <c r="K80" s="55"/>
      <c r="L80" s="55"/>
      <c r="M80" s="55"/>
      <c r="N80" s="55"/>
      <c r="O80" s="55"/>
      <c r="P80" s="55"/>
      <c r="Q80" s="55"/>
      <c r="R80" s="55"/>
      <c r="S80" s="55"/>
      <c r="T80" s="55"/>
      <c r="U80" s="55"/>
      <c r="V80" s="54"/>
    </row>
    <row r="81" spans="1:22" x14ac:dyDescent="0.15">
      <c r="A81" s="55"/>
      <c r="B81" s="55"/>
      <c r="C81" s="55"/>
      <c r="D81" s="55"/>
      <c r="E81" s="55"/>
      <c r="F81" s="55"/>
      <c r="G81" s="55"/>
      <c r="H81" s="55"/>
      <c r="I81" s="55"/>
      <c r="J81" s="55"/>
      <c r="K81" s="55"/>
      <c r="L81" s="55"/>
      <c r="M81" s="55"/>
      <c r="N81" s="55"/>
      <c r="O81" s="55"/>
      <c r="P81" s="55"/>
      <c r="Q81" s="55"/>
      <c r="R81" s="55"/>
      <c r="S81" s="55"/>
      <c r="T81" s="55"/>
      <c r="U81" s="55"/>
      <c r="V81" s="54"/>
    </row>
    <row r="82" spans="1:22" x14ac:dyDescent="0.15">
      <c r="A82" s="55"/>
      <c r="B82" s="55"/>
      <c r="C82" s="55"/>
      <c r="D82" s="55"/>
      <c r="E82" s="55"/>
      <c r="F82" s="55"/>
      <c r="G82" s="55"/>
      <c r="H82" s="55"/>
      <c r="I82" s="55"/>
      <c r="J82" s="55"/>
      <c r="K82" s="55"/>
      <c r="L82" s="55"/>
      <c r="M82" s="55"/>
      <c r="N82" s="55"/>
      <c r="O82" s="55"/>
      <c r="P82" s="55"/>
      <c r="Q82" s="55"/>
      <c r="R82" s="55"/>
      <c r="S82" s="55"/>
      <c r="T82" s="55"/>
      <c r="U82" s="55"/>
      <c r="V82" s="54"/>
    </row>
    <row r="83" spans="1:22" x14ac:dyDescent="0.15">
      <c r="A83" s="55"/>
      <c r="B83" s="55"/>
      <c r="C83" s="55"/>
      <c r="D83" s="55"/>
      <c r="E83" s="55"/>
      <c r="F83" s="55"/>
      <c r="G83" s="55"/>
      <c r="H83" s="55"/>
      <c r="I83" s="55"/>
      <c r="J83" s="55"/>
      <c r="K83" s="55"/>
      <c r="L83" s="55"/>
      <c r="M83" s="55"/>
      <c r="N83" s="55"/>
      <c r="O83" s="55"/>
      <c r="P83" s="55"/>
      <c r="Q83" s="55"/>
      <c r="R83" s="55"/>
      <c r="S83" s="55"/>
      <c r="T83" s="55"/>
      <c r="U83" s="55"/>
      <c r="V83" s="54"/>
    </row>
    <row r="84" spans="1:22" x14ac:dyDescent="0.15">
      <c r="A84" s="55"/>
      <c r="B84" s="55"/>
      <c r="C84" s="55"/>
      <c r="D84" s="55"/>
      <c r="E84" s="55"/>
      <c r="F84" s="55"/>
      <c r="G84" s="55"/>
      <c r="H84" s="55"/>
      <c r="I84" s="55"/>
      <c r="J84" s="55"/>
      <c r="K84" s="55"/>
      <c r="L84" s="55"/>
      <c r="M84" s="55"/>
      <c r="N84" s="55"/>
      <c r="O84" s="55"/>
      <c r="P84" s="55"/>
      <c r="Q84" s="55"/>
      <c r="R84" s="55"/>
      <c r="S84" s="55"/>
      <c r="T84" s="55"/>
      <c r="U84" s="55"/>
      <c r="V84" s="54"/>
    </row>
    <row r="85" spans="1:22" x14ac:dyDescent="0.15">
      <c r="A85" s="55"/>
      <c r="B85" s="55"/>
      <c r="C85" s="55"/>
      <c r="D85" s="55"/>
      <c r="E85" s="55"/>
      <c r="F85" s="55"/>
      <c r="G85" s="55"/>
      <c r="H85" s="55"/>
      <c r="I85" s="55"/>
      <c r="J85" s="55"/>
      <c r="K85" s="55"/>
      <c r="L85" s="55"/>
      <c r="M85" s="55"/>
      <c r="N85" s="55"/>
      <c r="O85" s="55"/>
      <c r="P85" s="55"/>
      <c r="Q85" s="55"/>
      <c r="R85" s="55"/>
      <c r="S85" s="55"/>
      <c r="T85" s="55"/>
      <c r="U85" s="55"/>
      <c r="V85" s="54"/>
    </row>
    <row r="86" spans="1:22" x14ac:dyDescent="0.15">
      <c r="A86" s="55"/>
      <c r="B86" s="55"/>
      <c r="C86" s="55"/>
      <c r="D86" s="55"/>
      <c r="E86" s="55"/>
      <c r="F86" s="55"/>
      <c r="G86" s="55"/>
      <c r="H86" s="55"/>
      <c r="I86" s="55"/>
      <c r="J86" s="55"/>
      <c r="K86" s="55"/>
      <c r="L86" s="55"/>
      <c r="M86" s="55"/>
      <c r="N86" s="55"/>
      <c r="O86" s="55"/>
      <c r="P86" s="55"/>
      <c r="Q86" s="55"/>
      <c r="R86" s="55"/>
      <c r="S86" s="55"/>
      <c r="T86" s="55"/>
      <c r="U86" s="55"/>
      <c r="V86" s="54"/>
    </row>
    <row r="87" spans="1:22" x14ac:dyDescent="0.15">
      <c r="A87" s="55"/>
      <c r="B87" s="55"/>
      <c r="C87" s="55"/>
      <c r="D87" s="55"/>
      <c r="E87" s="55"/>
      <c r="F87" s="55"/>
      <c r="G87" s="55"/>
      <c r="H87" s="55"/>
      <c r="I87" s="55"/>
      <c r="J87" s="55"/>
      <c r="K87" s="55"/>
      <c r="L87" s="55"/>
      <c r="M87" s="55"/>
      <c r="N87" s="55"/>
      <c r="O87" s="55"/>
      <c r="P87" s="55"/>
      <c r="Q87" s="55"/>
      <c r="R87" s="55"/>
      <c r="S87" s="55"/>
      <c r="T87" s="55"/>
      <c r="U87" s="55"/>
      <c r="V87" s="54"/>
    </row>
    <row r="88" spans="1:22" x14ac:dyDescent="0.15">
      <c r="A88" s="55"/>
      <c r="B88" s="55"/>
      <c r="C88" s="55"/>
      <c r="D88" s="55"/>
      <c r="E88" s="55"/>
      <c r="F88" s="55"/>
      <c r="G88" s="55"/>
      <c r="H88" s="55"/>
      <c r="I88" s="55"/>
      <c r="J88" s="55"/>
      <c r="K88" s="55"/>
      <c r="L88" s="55"/>
      <c r="M88" s="55"/>
      <c r="N88" s="55"/>
      <c r="O88" s="55"/>
      <c r="P88" s="55"/>
      <c r="Q88" s="55"/>
      <c r="R88" s="55"/>
      <c r="S88" s="55"/>
      <c r="T88" s="55"/>
      <c r="U88" s="55"/>
      <c r="V88" s="54"/>
    </row>
    <row r="89" spans="1:22" x14ac:dyDescent="0.15">
      <c r="A89" s="55"/>
      <c r="B89" s="55"/>
      <c r="C89" s="55"/>
      <c r="D89" s="55"/>
      <c r="E89" s="55"/>
      <c r="F89" s="55"/>
      <c r="G89" s="55"/>
      <c r="H89" s="55"/>
      <c r="I89" s="55"/>
      <c r="J89" s="55"/>
      <c r="K89" s="55"/>
      <c r="L89" s="55"/>
      <c r="M89" s="55"/>
      <c r="N89" s="55"/>
      <c r="O89" s="55"/>
      <c r="P89" s="55"/>
      <c r="Q89" s="55"/>
      <c r="R89" s="55"/>
      <c r="S89" s="55"/>
      <c r="T89" s="55"/>
      <c r="U89" s="55"/>
      <c r="V89" s="54"/>
    </row>
  </sheetData>
  <sheetProtection password="CF43" sheet="1" objects="1" scenarios="1"/>
  <mergeCells count="25">
    <mergeCell ref="A1:U1"/>
    <mergeCell ref="A2:U2"/>
    <mergeCell ref="D3:H5"/>
    <mergeCell ref="I3:P3"/>
    <mergeCell ref="Q3:S3"/>
    <mergeCell ref="I4:P4"/>
    <mergeCell ref="Q4:S9"/>
    <mergeCell ref="I5:L5"/>
    <mergeCell ref="M5:P5"/>
    <mergeCell ref="D6:E9"/>
    <mergeCell ref="F6:H7"/>
    <mergeCell ref="I6:L7"/>
    <mergeCell ref="M6:P7"/>
    <mergeCell ref="F8:H9"/>
    <mergeCell ref="I8:L9"/>
    <mergeCell ref="M8:P9"/>
    <mergeCell ref="C19:F30"/>
    <mergeCell ref="G19:I30"/>
    <mergeCell ref="J19:N30"/>
    <mergeCell ref="O19:S30"/>
    <mergeCell ref="A16:V16"/>
    <mergeCell ref="C18:F18"/>
    <mergeCell ref="G18:I18"/>
    <mergeCell ref="J18:N18"/>
    <mergeCell ref="O18:S18"/>
  </mergeCells>
  <phoneticPr fontId="10"/>
  <pageMargins left="0.7" right="0.7" top="0.75" bottom="0.75" header="0.3" footer="0.3"/>
  <pageSetup paperSize="9" scale="75" orientation="portrait" r:id="rId1"/>
  <rowBreaks count="1" manualBreakCount="1">
    <brk id="30" max="21" man="1"/>
  </rowBreaks>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調査票</vt:lpstr>
      <vt:lpstr>加算の取得状況</vt:lpstr>
      <vt:lpstr>集計シート</vt:lpstr>
      <vt:lpstr>集計アシストシート</vt:lpstr>
      <vt:lpstr>検算シート</vt:lpstr>
      <vt:lpstr>地域</vt:lpstr>
      <vt:lpstr>経営指標の計算式</vt:lpstr>
      <vt:lpstr>提出方法</vt:lpstr>
      <vt:lpstr>設問解説</vt:lpstr>
      <vt:lpstr>会員名簿</vt:lpstr>
      <vt:lpstr>加算の取得状況!Print_Area</vt:lpstr>
      <vt:lpstr>検算シート!Print_Area</vt:lpstr>
      <vt:lpstr>集計アシストシート!Print_Area</vt:lpstr>
      <vt:lpstr>設問解説!Print_Area</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水田智博</dc:creator>
  <cp:lastModifiedBy>相模原市高齢協</cp:lastModifiedBy>
  <cp:lastPrinted>2019-06-11T02:20:53Z</cp:lastPrinted>
  <dcterms:created xsi:type="dcterms:W3CDTF">2014-04-18T00:34:15Z</dcterms:created>
  <dcterms:modified xsi:type="dcterms:W3CDTF">2019-06-24T02:31:16Z</dcterms:modified>
</cp:coreProperties>
</file>